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schracktechnik-my.sharepoint.com/personal/p_kouril_schrack_com/Documents/Desktop/"/>
    </mc:Choice>
  </mc:AlternateContent>
  <xr:revisionPtr revIDLastSave="16" documentId="13_ncr:1_{A1C4E082-E027-4D46-B378-D7B804D0F70A}" xr6:coauthVersionLast="47" xr6:coauthVersionMax="47" xr10:uidLastSave="{0C8A9C7C-FFB1-4B62-A51F-389920675CF4}"/>
  <workbookProtection workbookAlgorithmName="SHA-512" workbookHashValue="Gnk+ayCnJxNOi/YycOq3/nz46doAlhIF6Pt7P1YKke22mr/BBFaaQaxtmZS30O/LjUJQI8wCNgj05t9IZBslmA==" workbookSaltValue="DcPZDNOmKG9abypR98Fb5Q==" workbookSpinCount="100000" lockStructure="1"/>
  <bookViews>
    <workbookView xWindow="23620" yWindow="-1350" windowWidth="29810" windowHeight="18300" tabRatio="959" firstSheet="1" activeTab="1" xr2:uid="{00000000-000D-0000-FFFF-FFFF00000000}"/>
  </bookViews>
  <sheets>
    <sheet name="Zdrojová data" sheetId="34" state="hidden" r:id="rId1"/>
    <sheet name="Zadání" sheetId="35" r:id="rId2"/>
    <sheet name="1. Charakteristiky rozhraní" sheetId="8" r:id="rId3"/>
    <sheet name="2. Kusové ověření" sheetId="6" r:id="rId4"/>
    <sheet name="3. EU Prohlášení o shodě" sheetId="11" r:id="rId5"/>
    <sheet name="4. Štítek" sheetId="39" r:id="rId6"/>
    <sheet name="5. Oteplení rozváděče" sheetId="24" r:id="rId7"/>
    <sheet name="Typový klíč" sheetId="37" r:id="rId8"/>
    <sheet name="Návod" sheetId="32" r:id="rId9"/>
    <sheet name="Databaze" sheetId="26" state="hidden" r:id="rId10"/>
  </sheets>
  <definedNames>
    <definedName name="_xlnm._FilterDatabase" localSheetId="9" hidden="1">Databaze!$A$1:$J$1</definedName>
    <definedName name="_xleta.AND" hidden="1" xlm="1">#NAME?</definedName>
    <definedName name="_xleta.COUNT" hidden="1" xlm="1">#NAME?</definedName>
    <definedName name="_xleta.INDIRECT" hidden="1" xlm="1">#NAME?</definedName>
    <definedName name="_xleta.LEFT" hidden="1" xlm="1">#NAME?</definedName>
    <definedName name="_xleta.N" hidden="1" xlm="1">#NAME?</definedName>
    <definedName name="_xleta.OR" hidden="1" xlm="1">#NAME?</definedName>
    <definedName name="_xleta.ROW" hidden="1" xlm="1">#NAME?</definedName>
    <definedName name="_xleta.T" hidden="1" xlm="1">#NAME?</definedName>
    <definedName name="_xleta.UNIQUE" hidden="1" xlm="1">#NAME?</definedName>
    <definedName name="Datum" localSheetId="5">#REF!</definedName>
    <definedName name="Datum" localSheetId="7">#REF!</definedName>
    <definedName name="Datum">'1. Charakteristiky rozhraní'!$H$6</definedName>
    <definedName name="NormaČSN" localSheetId="5">#REF!</definedName>
    <definedName name="NormaČSN" localSheetId="7">#REF!</definedName>
    <definedName name="NormaIEC" localSheetId="5">#REF!</definedName>
    <definedName name="NormaIEC" localSheetId="7">#REF!</definedName>
    <definedName name="_xlnm.Print_Area" localSheetId="2">'1. Charakteristiky rozhraní'!$B$2:$J$71</definedName>
    <definedName name="_xlnm.Print_Area" localSheetId="3">'2. Kusové ověření'!$B$2:$J$69</definedName>
    <definedName name="_xlnm.Print_Area" localSheetId="4">'3. EU Prohlášení o shodě'!$B$2:$M$60</definedName>
    <definedName name="_xlnm.Print_Area" localSheetId="6">'5. Oteplení rozváděče'!$B$2:$N$70</definedName>
    <definedName name="_xlnm.Print_Area" localSheetId="8">Návod!$A$2:$A$43</definedName>
    <definedName name="_xlnm.Print_Area" localSheetId="7">'Typový klíč'!$B$2:$R$47</definedName>
    <definedName name="OznaceniRozvadece" localSheetId="5">#REF!</definedName>
    <definedName name="OznaceniRozvadece" localSheetId="7">#REF!</definedName>
    <definedName name="OznaceniRozvadece">'1. Charakteristiky rozhraní'!$F$21</definedName>
    <definedName name="Popis">'3. EU Prohlášení o shodě'!$E$30</definedName>
    <definedName name="PouzitePristroje">'2. Kusové ověření'!$D$53:$H$56</definedName>
    <definedName name="TypKrytu" localSheetId="5">#REF!</definedName>
    <definedName name="TypKrytu" localSheetId="7">#REF!</definedName>
    <definedName name="TypSkrine" localSheetId="5">#REF!</definedName>
    <definedName name="TypSkrine" localSheetId="7">#REF!</definedName>
    <definedName name="TypSkrine">'1. Charakteristiky rozhraní'!$F$23</definedName>
    <definedName name="vyr">'2. Kusové ověření'!$E$15:$F$15</definedName>
    <definedName name="VyrCislo" localSheetId="5">#REF!</definedName>
    <definedName name="VyrCislo" localSheetId="7">#REF!</definedName>
    <definedName name="VyrCislo">'1. Charakteristiky rozhraní'!$F$22</definedName>
    <definedName name="Vyrob">'1. Charakteristiky rozhraní'!$F$22:$G$22</definedName>
    <definedName name="Vyrobce" localSheetId="5">#REF!</definedName>
    <definedName name="Vyrobce" localSheetId="7">#REF!</definedName>
    <definedName name="Vyrobce">'1. Charakteristiky rozhraní'!$F$12</definedName>
    <definedName name="Vyrobek">'3. EU Prohlášení o shodě'!$E$26</definedName>
    <definedName name="VyrobniCislo">'1. Charakteristiky rozhraní'!$E$9:$G$9</definedName>
    <definedName name="VyrobRozv">'1. Charakteristiky rozhraní'!$F$12:$H$15</definedName>
    <definedName name="zkousel">'2. Kusové ověření'!$H$19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9" i="34" l="1"/>
  <c r="C10" i="11"/>
  <c r="S90" i="34"/>
  <c r="R90" i="34"/>
  <c r="Q90" i="34"/>
  <c r="P90" i="34"/>
  <c r="O90" i="34"/>
  <c r="L90" i="34"/>
  <c r="K90" i="34"/>
  <c r="J90" i="34"/>
  <c r="I90" i="34"/>
  <c r="H90" i="34"/>
  <c r="S89" i="34"/>
  <c r="R89" i="34"/>
  <c r="Q89" i="34"/>
  <c r="P89" i="34"/>
  <c r="O89" i="34"/>
  <c r="L89" i="34"/>
  <c r="K89" i="34"/>
  <c r="J89" i="34"/>
  <c r="I89" i="34"/>
  <c r="H89" i="34"/>
  <c r="S88" i="34"/>
  <c r="R88" i="34"/>
  <c r="Q88" i="34"/>
  <c r="P88" i="34"/>
  <c r="O88" i="34"/>
  <c r="L88" i="34"/>
  <c r="K88" i="34"/>
  <c r="J88" i="34"/>
  <c r="I88" i="34"/>
  <c r="H88" i="34"/>
  <c r="S87" i="34"/>
  <c r="R87" i="34"/>
  <c r="Q87" i="34"/>
  <c r="P87" i="34"/>
  <c r="O87" i="34"/>
  <c r="L87" i="34"/>
  <c r="K87" i="34"/>
  <c r="J87" i="34"/>
  <c r="I87" i="34"/>
  <c r="H87" i="34"/>
  <c r="S86" i="34"/>
  <c r="R86" i="34"/>
  <c r="Q86" i="34"/>
  <c r="P86" i="34"/>
  <c r="O86" i="34"/>
  <c r="L86" i="34"/>
  <c r="K86" i="34"/>
  <c r="J86" i="34"/>
  <c r="I86" i="34"/>
  <c r="H86" i="34"/>
  <c r="S85" i="34"/>
  <c r="R85" i="34"/>
  <c r="Q85" i="34"/>
  <c r="P85" i="34"/>
  <c r="O85" i="34"/>
  <c r="L85" i="34"/>
  <c r="K85" i="34"/>
  <c r="J85" i="34"/>
  <c r="I85" i="34"/>
  <c r="H85" i="34"/>
  <c r="Q84" i="34"/>
  <c r="P84" i="34"/>
  <c r="O84" i="34"/>
  <c r="L84" i="34"/>
  <c r="K84" i="34"/>
  <c r="J84" i="34"/>
  <c r="I84" i="34"/>
  <c r="H84" i="34"/>
  <c r="Q83" i="34"/>
  <c r="P83" i="34"/>
  <c r="O83" i="34"/>
  <c r="L83" i="34"/>
  <c r="K83" i="34"/>
  <c r="J83" i="34"/>
  <c r="I83" i="34"/>
  <c r="H83" i="34"/>
  <c r="Q82" i="34"/>
  <c r="P82" i="34"/>
  <c r="O82" i="34"/>
  <c r="L82" i="34"/>
  <c r="K82" i="34"/>
  <c r="J82" i="34"/>
  <c r="I82" i="34"/>
  <c r="H82" i="34"/>
  <c r="Q81" i="34"/>
  <c r="P81" i="34"/>
  <c r="O81" i="34"/>
  <c r="L81" i="34"/>
  <c r="K81" i="34"/>
  <c r="J81" i="34"/>
  <c r="I81" i="34"/>
  <c r="H81" i="34"/>
  <c r="Q80" i="34"/>
  <c r="P80" i="34"/>
  <c r="O80" i="34"/>
  <c r="L80" i="34"/>
  <c r="K80" i="34"/>
  <c r="J80" i="34"/>
  <c r="I80" i="34"/>
  <c r="H80" i="34"/>
  <c r="Q79" i="34"/>
  <c r="P79" i="34"/>
  <c r="O79" i="34"/>
  <c r="L79" i="34"/>
  <c r="K79" i="34"/>
  <c r="J79" i="34"/>
  <c r="I79" i="34"/>
  <c r="H79" i="34"/>
  <c r="Q78" i="34"/>
  <c r="P78" i="34"/>
  <c r="O78" i="34"/>
  <c r="L78" i="34"/>
  <c r="K78" i="34"/>
  <c r="J78" i="34"/>
  <c r="I78" i="34"/>
  <c r="H78" i="34"/>
  <c r="Q77" i="34"/>
  <c r="P77" i="34"/>
  <c r="O77" i="34"/>
  <c r="L77" i="34"/>
  <c r="K77" i="34"/>
  <c r="J77" i="34"/>
  <c r="I77" i="34"/>
  <c r="H77" i="34"/>
  <c r="F78" i="34"/>
  <c r="F79" i="34"/>
  <c r="F80" i="34"/>
  <c r="F81" i="34"/>
  <c r="F82" i="34"/>
  <c r="F83" i="34"/>
  <c r="F84" i="34"/>
  <c r="F85" i="34"/>
  <c r="F86" i="34"/>
  <c r="F87" i="34"/>
  <c r="F88" i="34"/>
  <c r="F89" i="34"/>
  <c r="F90" i="34"/>
  <c r="F77" i="34"/>
  <c r="T33" i="34"/>
  <c r="T87" i="34" s="1"/>
  <c r="L45" i="34" l="1"/>
  <c r="J8" i="24"/>
  <c r="C3" i="39"/>
  <c r="D8" i="6"/>
  <c r="O47" i="34" l="1"/>
  <c r="O46" i="34"/>
  <c r="M46" i="34"/>
  <c r="O48" i="34"/>
  <c r="M48" i="34"/>
  <c r="L47" i="34"/>
  <c r="L48" i="34"/>
  <c r="L49" i="34"/>
  <c r="C10" i="34"/>
  <c r="C11" i="34"/>
  <c r="C12" i="34"/>
  <c r="C17" i="34"/>
  <c r="C16" i="34"/>
  <c r="C15" i="34"/>
  <c r="C14" i="34"/>
  <c r="C13" i="34"/>
  <c r="C9" i="34"/>
  <c r="C8" i="34"/>
  <c r="E4" i="34"/>
  <c r="S17" i="34" s="1"/>
  <c r="J5" i="34"/>
  <c r="J12" i="34"/>
  <c r="M42" i="34"/>
  <c r="M43" i="34"/>
  <c r="M44" i="34"/>
  <c r="M50" i="34"/>
  <c r="M51" i="34"/>
  <c r="M52" i="34"/>
  <c r="M53" i="34"/>
  <c r="M54" i="34"/>
  <c r="M41" i="34"/>
  <c r="O42" i="34"/>
  <c r="O43" i="34"/>
  <c r="O44" i="34"/>
  <c r="O45" i="34"/>
  <c r="O50" i="34"/>
  <c r="O51" i="34"/>
  <c r="O52" i="34"/>
  <c r="O53" i="34"/>
  <c r="O54" i="34"/>
  <c r="O41" i="34"/>
  <c r="L43" i="34"/>
  <c r="L51" i="34"/>
  <c r="L42" i="34"/>
  <c r="L44" i="34"/>
  <c r="L46" i="34"/>
  <c r="L50" i="34"/>
  <c r="L52" i="34"/>
  <c r="L53" i="34"/>
  <c r="L54" i="34"/>
  <c r="L41" i="34"/>
  <c r="F18" i="35"/>
  <c r="E18" i="35" s="1"/>
  <c r="S18" i="34"/>
  <c r="C5" i="34"/>
  <c r="C7" i="34"/>
  <c r="C4" i="34"/>
  <c r="N16" i="34" l="1"/>
  <c r="Y14" i="34"/>
  <c r="J11" i="34"/>
  <c r="J10" i="34" s="1"/>
  <c r="J13" i="34" s="1"/>
  <c r="E5" i="34"/>
  <c r="S15" i="34"/>
  <c r="U53" i="34"/>
  <c r="T53" i="34"/>
  <c r="T52" i="34"/>
  <c r="U52" i="34"/>
  <c r="U51" i="34"/>
  <c r="T51" i="34"/>
  <c r="U35" i="34"/>
  <c r="U89" i="34" s="1"/>
  <c r="U34" i="34"/>
  <c r="U88" i="34" s="1"/>
  <c r="U33" i="34"/>
  <c r="U87" i="34" s="1"/>
  <c r="T35" i="34"/>
  <c r="T89" i="34" s="1"/>
  <c r="T34" i="34"/>
  <c r="T88" i="34" s="1"/>
  <c r="D29" i="24"/>
  <c r="F16" i="35"/>
  <c r="Z14" i="34" l="1"/>
  <c r="Y15" i="34" s="1"/>
  <c r="E16" i="35"/>
  <c r="X34" i="34"/>
  <c r="I13" i="34"/>
  <c r="I18" i="34"/>
  <c r="D28" i="24"/>
  <c r="M4" i="34"/>
  <c r="Y16" i="34" l="1"/>
  <c r="J9" i="34"/>
  <c r="D26" i="24" s="1"/>
  <c r="J7" i="34"/>
  <c r="D24" i="24" s="1"/>
  <c r="J8" i="34"/>
  <c r="D25" i="24" s="1"/>
  <c r="D30" i="24"/>
  <c r="D27" i="24"/>
  <c r="D22" i="24"/>
  <c r="Y6" i="34"/>
  <c r="M13" i="39"/>
  <c r="D68" i="8"/>
  <c r="D60" i="8"/>
  <c r="C16" i="39"/>
  <c r="C14" i="39"/>
  <c r="N23" i="34" l="1"/>
  <c r="N77" i="34" s="1"/>
  <c r="N36" i="34"/>
  <c r="N90" i="34" s="1"/>
  <c r="N35" i="34"/>
  <c r="N89" i="34" s="1"/>
  <c r="N34" i="34"/>
  <c r="N27" i="34"/>
  <c r="N81" i="34" s="1"/>
  <c r="N33" i="34"/>
  <c r="N87" i="34" s="1"/>
  <c r="N32" i="34"/>
  <c r="N86" i="34" s="1"/>
  <c r="N31" i="34"/>
  <c r="N85" i="34" s="1"/>
  <c r="N30" i="34"/>
  <c r="N84" i="34" s="1"/>
  <c r="N29" i="34"/>
  <c r="N83" i="34" s="1"/>
  <c r="N28" i="34"/>
  <c r="N82" i="34" s="1"/>
  <c r="N26" i="34"/>
  <c r="N80" i="34" s="1"/>
  <c r="N25" i="34"/>
  <c r="N79" i="34" s="1"/>
  <c r="N24" i="34"/>
  <c r="N78" i="34" s="1"/>
  <c r="M27" i="34"/>
  <c r="M81" i="34" s="1"/>
  <c r="M34" i="34"/>
  <c r="M88" i="34" s="1"/>
  <c r="M35" i="34"/>
  <c r="M89" i="34" s="1"/>
  <c r="M36" i="34"/>
  <c r="M90" i="34" s="1"/>
  <c r="G34" i="34"/>
  <c r="G88" i="34" s="1"/>
  <c r="G35" i="34"/>
  <c r="G89" i="34" s="1"/>
  <c r="G36" i="34"/>
  <c r="G90" i="34" s="1"/>
  <c r="G75" i="34"/>
  <c r="G70" i="34"/>
  <c r="G71" i="34"/>
  <c r="G72" i="34"/>
  <c r="G74" i="34"/>
  <c r="M26" i="34"/>
  <c r="M80" i="34" s="1"/>
  <c r="M25" i="34"/>
  <c r="M79" i="34" s="1"/>
  <c r="G73" i="34"/>
  <c r="M23" i="34"/>
  <c r="M77" i="34" s="1"/>
  <c r="M24" i="34"/>
  <c r="M78" i="34" s="1"/>
  <c r="M39" i="34"/>
  <c r="M38" i="34"/>
  <c r="G59" i="34"/>
  <c r="M37" i="34"/>
  <c r="G69" i="34"/>
  <c r="G68" i="34"/>
  <c r="G67" i="34"/>
  <c r="G66" i="34"/>
  <c r="M33" i="34"/>
  <c r="M87" i="34" s="1"/>
  <c r="G65" i="34"/>
  <c r="M32" i="34"/>
  <c r="M86" i="34" s="1"/>
  <c r="G64" i="34"/>
  <c r="M31" i="34"/>
  <c r="M85" i="34" s="1"/>
  <c r="G63" i="34"/>
  <c r="M30" i="34"/>
  <c r="M84" i="34" s="1"/>
  <c r="G62" i="34"/>
  <c r="M29" i="34"/>
  <c r="M83" i="34" s="1"/>
  <c r="G61" i="34"/>
  <c r="M28" i="34"/>
  <c r="M82" i="34" s="1"/>
  <c r="G60" i="34"/>
  <c r="F12" i="8"/>
  <c r="AA6" i="34"/>
  <c r="Z6" i="34"/>
  <c r="G39" i="34"/>
  <c r="G93" i="34" s="1"/>
  <c r="F42" i="8"/>
  <c r="F16" i="39"/>
  <c r="C12" i="39"/>
  <c r="F56" i="8"/>
  <c r="F21" i="8"/>
  <c r="M3" i="39" s="1"/>
  <c r="N88" i="34" l="1"/>
  <c r="H12" i="34"/>
  <c r="N17" i="34"/>
  <c r="K4" i="34"/>
  <c r="F27" i="8" s="1"/>
  <c r="G37" i="34"/>
  <c r="G91" i="34" s="1"/>
  <c r="G23" i="34"/>
  <c r="G77" i="34" s="1"/>
  <c r="G25" i="34"/>
  <c r="G79" i="34" s="1"/>
  <c r="G26" i="34"/>
  <c r="G80" i="34" s="1"/>
  <c r="G27" i="34"/>
  <c r="G81" i="34" s="1"/>
  <c r="G28" i="34"/>
  <c r="G82" i="34" s="1"/>
  <c r="G29" i="34"/>
  <c r="G83" i="34" s="1"/>
  <c r="G30" i="34"/>
  <c r="G84" i="34" s="1"/>
  <c r="G31" i="34"/>
  <c r="G85" i="34" s="1"/>
  <c r="G32" i="34"/>
  <c r="G86" i="34" s="1"/>
  <c r="G33" i="34"/>
  <c r="G87" i="34" s="1"/>
  <c r="G38" i="34"/>
  <c r="G92" i="34" s="1"/>
  <c r="G24" i="34"/>
  <c r="G78" i="34" s="1"/>
  <c r="F26" i="8" l="1"/>
  <c r="F28" i="8" s="1"/>
  <c r="F12" i="24"/>
  <c r="F22" i="8"/>
  <c r="F14" i="6" s="1"/>
  <c r="F24" i="8"/>
  <c r="M20" i="39" s="1"/>
  <c r="G64" i="8"/>
  <c r="D51" i="11" s="1"/>
  <c r="F19" i="8"/>
  <c r="F18" i="8"/>
  <c r="F17" i="8"/>
  <c r="F16" i="8"/>
  <c r="F15" i="8"/>
  <c r="I12" i="11" s="1"/>
  <c r="F14" i="8"/>
  <c r="F13" i="8"/>
  <c r="I13" i="11" s="1"/>
  <c r="H6" i="8"/>
  <c r="I51" i="11" s="1"/>
  <c r="I56" i="11"/>
  <c r="N2" i="24"/>
  <c r="M2" i="11"/>
  <c r="J2" i="6"/>
  <c r="D64" i="8" l="1"/>
  <c r="G19" i="6"/>
  <c r="G31" i="6" s="1"/>
  <c r="F22" i="39"/>
  <c r="I19" i="6"/>
  <c r="I28" i="6" s="1"/>
  <c r="E32" i="11"/>
  <c r="F11" i="6"/>
  <c r="I54" i="11"/>
  <c r="E28" i="11"/>
  <c r="F10" i="24"/>
  <c r="G68" i="8"/>
  <c r="I11" i="11"/>
  <c r="I10" i="11"/>
  <c r="I25" i="6" l="1"/>
  <c r="I34" i="6"/>
  <c r="I43" i="6"/>
  <c r="I40" i="6"/>
  <c r="I22" i="6"/>
  <c r="I31" i="6"/>
  <c r="I46" i="6"/>
  <c r="I37" i="6"/>
  <c r="G40" i="6"/>
  <c r="G25" i="6"/>
  <c r="G22" i="6"/>
  <c r="G43" i="6"/>
  <c r="G28" i="6"/>
  <c r="G34" i="6"/>
  <c r="G46" i="6"/>
  <c r="G37" i="6"/>
  <c r="I7" i="34" l="1"/>
  <c r="I12" i="34"/>
  <c r="H19" i="34"/>
  <c r="C36" i="24" s="1"/>
  <c r="N14" i="34"/>
  <c r="F31" i="24" s="1"/>
  <c r="N11" i="34"/>
  <c r="F28" i="24" s="1"/>
  <c r="I5" i="34"/>
  <c r="F17" i="35" s="1"/>
  <c r="E17" i="35" s="1"/>
  <c r="H7" i="34"/>
  <c r="C24" i="24" s="1"/>
  <c r="F33" i="24"/>
  <c r="S14" i="34"/>
  <c r="S6" i="34"/>
  <c r="F40" i="8" s="1"/>
  <c r="M24" i="39" s="1"/>
  <c r="C29" i="24"/>
  <c r="N18" i="34"/>
  <c r="F35" i="24" s="1"/>
  <c r="S7" i="34"/>
  <c r="I10" i="34"/>
  <c r="I19" i="34"/>
  <c r="J19" i="34" s="1"/>
  <c r="D36" i="24" s="1"/>
  <c r="H9" i="34"/>
  <c r="C26" i="24" s="1"/>
  <c r="H15" i="34"/>
  <c r="C32" i="24" s="1"/>
  <c r="I17" i="34"/>
  <c r="J17" i="34" s="1"/>
  <c r="D34" i="24" s="1"/>
  <c r="N13" i="34"/>
  <c r="F30" i="24" s="1"/>
  <c r="N9" i="34"/>
  <c r="F26" i="24" s="1"/>
  <c r="H6" i="34"/>
  <c r="C23" i="24" s="1"/>
  <c r="H4" i="34"/>
  <c r="C18" i="24" s="1"/>
  <c r="N19" i="34"/>
  <c r="F36" i="24" s="1"/>
  <c r="H10" i="34"/>
  <c r="C27" i="24" s="1"/>
  <c r="N5" i="34"/>
  <c r="F22" i="24" s="1"/>
  <c r="S11" i="34"/>
  <c r="N10" i="34"/>
  <c r="F27" i="24" s="1"/>
  <c r="I11" i="34"/>
  <c r="S5" i="34"/>
  <c r="F39" i="8" s="1"/>
  <c r="N15" i="34"/>
  <c r="F32" i="24" s="1"/>
  <c r="N7" i="34"/>
  <c r="F24" i="24" s="1"/>
  <c r="F23" i="8"/>
  <c r="S12" i="34"/>
  <c r="G61" i="24" s="1"/>
  <c r="H8" i="34"/>
  <c r="C25" i="24" s="1"/>
  <c r="H16" i="34"/>
  <c r="C33" i="24" s="1"/>
  <c r="I8" i="34"/>
  <c r="J18" i="34"/>
  <c r="D35" i="24" s="1"/>
  <c r="S8" i="34"/>
  <c r="I4" i="34"/>
  <c r="J4" i="34" s="1"/>
  <c r="H14" i="34"/>
  <c r="C31" i="24" s="1"/>
  <c r="I15" i="34"/>
  <c r="J15" i="34" s="1"/>
  <c r="D32" i="24" s="1"/>
  <c r="N6" i="34"/>
  <c r="F23" i="24" s="1"/>
  <c r="N4" i="34"/>
  <c r="I14" i="34"/>
  <c r="L4" i="34"/>
  <c r="I6" i="34"/>
  <c r="N12" i="34"/>
  <c r="F29" i="24" s="1"/>
  <c r="N8" i="34"/>
  <c r="F25" i="24" s="1"/>
  <c r="S13" i="34"/>
  <c r="G63" i="24" s="1"/>
  <c r="H18" i="34"/>
  <c r="C35" i="24" s="1"/>
  <c r="I9" i="34"/>
  <c r="S9" i="34"/>
  <c r="G58" i="24" s="1"/>
  <c r="S10" i="34"/>
  <c r="H17" i="34"/>
  <c r="C34" i="24" s="1"/>
  <c r="H5" i="34"/>
  <c r="C22" i="24" s="1"/>
  <c r="H13" i="34"/>
  <c r="C30" i="24" s="1"/>
  <c r="I16" i="34"/>
  <c r="J16" i="34" s="1"/>
  <c r="D33" i="24" s="1"/>
  <c r="F34" i="24"/>
  <c r="H11" i="34"/>
  <c r="C28" i="24" s="1"/>
  <c r="B16" i="34" l="1"/>
  <c r="B12" i="34"/>
  <c r="B10" i="34"/>
  <c r="B5" i="34"/>
  <c r="B15" i="34"/>
  <c r="B14" i="34"/>
  <c r="B9" i="34"/>
  <c r="B13" i="34"/>
  <c r="B6" i="34"/>
  <c r="B17" i="34"/>
  <c r="B11" i="34"/>
  <c r="B7" i="34"/>
  <c r="B4" i="34"/>
  <c r="B8" i="34"/>
  <c r="J6" i="34"/>
  <c r="D23" i="24" s="1"/>
  <c r="J14" i="34"/>
  <c r="D31" i="24" s="1"/>
  <c r="F15" i="35"/>
  <c r="F55" i="8"/>
  <c r="O22" i="39" s="1"/>
  <c r="G64" i="24"/>
  <c r="F18" i="24"/>
  <c r="F51" i="8"/>
  <c r="F53" i="8"/>
  <c r="F52" i="8"/>
  <c r="O24" i="39"/>
  <c r="E34" i="11"/>
  <c r="E19" i="6"/>
  <c r="F31" i="8"/>
  <c r="F30" i="8"/>
  <c r="G60" i="24"/>
  <c r="F57" i="8"/>
  <c r="G56" i="24"/>
  <c r="F34" i="8"/>
  <c r="S16" i="34" l="1"/>
  <c r="C2" i="35" s="1"/>
  <c r="E15" i="35"/>
  <c r="J59" i="24"/>
  <c r="E30" i="11"/>
  <c r="M22" i="39"/>
  <c r="E24" i="39"/>
  <c r="F19" i="35" l="1"/>
  <c r="E9" i="8"/>
  <c r="F8" i="24"/>
  <c r="C18" i="39"/>
  <c r="F8" i="6"/>
  <c r="E19" i="35" l="1"/>
  <c r="D48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Kouřil Pavel</author>
  </authors>
  <commentList>
    <comment ref="E5" authorId="0" shapeId="0" xr:uid="{F902BC89-F58A-4178-90B8-702A6189D53A}">
      <text>
        <r>
          <rPr>
            <b/>
            <sz val="9"/>
            <color indexed="81"/>
            <rFont val="Tahoma"/>
            <family val="2"/>
          </rPr>
          <t>Kouřil Pavel:</t>
        </r>
        <r>
          <rPr>
            <sz val="9"/>
            <color indexed="81"/>
            <rFont val="Tahoma"/>
            <family val="2"/>
          </rPr>
          <t xml:space="preserve">
E4=A12;A5: tyto hodnoty ve vzorečku nejsou chyby, ale pomůcka na správné zobrazení čísel v listu zadání
Hodnoty v poli E5 slouží pouze pro tento účel</t>
        </r>
      </text>
    </comment>
    <comment ref="B77" authorId="0" shapeId="0" xr:uid="{A9EB1BE1-0389-4D39-9080-DCC96CC66733}">
      <text>
        <r>
          <rPr>
            <sz val="14"/>
            <color indexed="81"/>
            <rFont val="Tahoma"/>
            <family val="2"/>
          </rPr>
          <t xml:space="preserve">DD.7.1.2
PVAmusí být vhodné pro použití v makroprostředí. Ve kterém jsou instalovány:
2 - vnitřní domovní
3 - vnitřní jiné než domovní
4 - venkovní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Kouřil Pavel</author>
  </authors>
  <commentList>
    <comment ref="B30" authorId="0" shapeId="0" xr:uid="{CC6846BF-4009-425E-8D1B-B48F371EDF67}">
      <text>
        <r>
          <rPr>
            <sz val="14"/>
            <color indexed="81"/>
            <rFont val="Tahoma"/>
            <family val="2"/>
          </rPr>
          <t xml:space="preserve">DD.7.1.2
PVAmusí být vhodné pro použití v makroprostředí. Ve kterém jsou instalovány:
2 - vnitřní domovní
3 - vnitřní jiné než domovní
4 - venkovní
</t>
        </r>
      </text>
    </comment>
    <comment ref="B32" authorId="0" shapeId="0" xr:uid="{29191170-AB9A-4914-9D5B-9390955867FE}">
      <text>
        <r>
          <rPr>
            <b/>
            <sz val="9"/>
            <color indexed="81"/>
            <rFont val="Tahoma"/>
            <family val="2"/>
          </rPr>
          <t>doplnit, pokud jsou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Kouřil Pavel</author>
  </authors>
  <commentList>
    <comment ref="D47" authorId="0" shapeId="0" xr:uid="{71506C5E-268D-44E9-A193-6D2DD0BE28DD}">
      <text>
        <r>
          <rPr>
            <sz val="12"/>
            <color indexed="81"/>
            <rFont val="Tahoma"/>
            <family val="2"/>
          </rPr>
          <t>1. První písmeno označuje typ elektrického spoje hlavního přívodního obvodu
2. Druhé písmeno označuje typ elektrického spoje hlavního výstupního obvodu
3. Třetí písmeno označuje typ elektrického spoje pomocných obvodů
F pro pevné spoje (spoj, který je připojován nebo opojován pomocí nástroje)
D pro odpojitelné spoje (spoj, který je zapojován nebo odpojován ručním ovládáním připojovacích prostředků bez nástroje)
W pro výsuvné spoje (spoj, který je zapojován nebo odpojován uvedením funkční jednotky do pracovní nebo odpojené polohy)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Pavel Kouril</author>
  </authors>
  <commentList>
    <comment ref="E43" authorId="0" shapeId="0" xr:uid="{00000000-0006-0000-0400-000001000000}">
      <text>
        <r>
          <rPr>
            <sz val="9"/>
            <color indexed="81"/>
            <rFont val="Tahoma"/>
            <family val="2"/>
            <charset val="238"/>
          </rPr>
          <t xml:space="preserve">Pokud pro ověření dielektrických vlastností potřebujete použít Výdržné napětí půmyslového kmitočtu dle 10.9.2, použijte prosím klasický SchrackNorm.
</t>
        </r>
      </text>
    </comment>
    <comment ref="F43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 xml:space="preserve">Doplňte naměřenou hodnotu z přístroje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Pavel Kouril</author>
  </authors>
  <commentList>
    <comment ref="F8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Vyplní se automaticky po zadání všech potřebných údajů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Vyplňuje se na krycím listě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2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Vyplňuje se na krycím listě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18" authorId="0" shapeId="0" xr:uid="{00000000-0006-0000-0700-000004000000}">
      <text>
        <r>
          <rPr>
            <sz val="9"/>
            <color indexed="81"/>
            <rFont val="Tahoma"/>
            <family val="2"/>
            <charset val="238"/>
          </rPr>
          <t xml:space="preserve">Vyplňuje se obj. číslo rozvodnice nebo instalačního rámu.
Kostrukce se doplňuje do části </t>
        </r>
        <r>
          <rPr>
            <b/>
            <sz val="9"/>
            <color indexed="81"/>
            <rFont val="Tahoma"/>
            <family val="2"/>
            <charset val="238"/>
          </rPr>
          <t>Ostatní přístroje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<sst xmlns="http://schemas.openxmlformats.org/spreadsheetml/2006/main" count="810" uniqueCount="412">
  <si>
    <t>vyhovuje</t>
  </si>
  <si>
    <t>mm</t>
  </si>
  <si>
    <t>Stupeň znečištění</t>
  </si>
  <si>
    <t>Základní ochrana</t>
  </si>
  <si>
    <t>A</t>
  </si>
  <si>
    <t>Typ</t>
  </si>
  <si>
    <t>Stabilní</t>
  </si>
  <si>
    <t>Datum:</t>
  </si>
  <si>
    <t>Výrobce rozváděče</t>
  </si>
  <si>
    <t xml:space="preserve">Firma: </t>
  </si>
  <si>
    <t xml:space="preserve">PSČ, město: </t>
  </si>
  <si>
    <t xml:space="preserve">Telefon: </t>
  </si>
  <si>
    <t xml:space="preserve">E-mail: </t>
  </si>
  <si>
    <t xml:space="preserve">www: </t>
  </si>
  <si>
    <t>Označení rozváděče:</t>
  </si>
  <si>
    <t>Výrobní číslo:</t>
  </si>
  <si>
    <t>V</t>
  </si>
  <si>
    <t>kV</t>
  </si>
  <si>
    <t>kA</t>
  </si>
  <si>
    <t>Typ sítě</t>
  </si>
  <si>
    <t>Ochrana před úrazem elektrickým proudem</t>
  </si>
  <si>
    <t>Stupeň ochrany IP</t>
  </si>
  <si>
    <t>Typ konstrukce</t>
  </si>
  <si>
    <t>Prostředí instalace</t>
  </si>
  <si>
    <t>Způsob instalace</t>
  </si>
  <si>
    <t>Způsob používání</t>
  </si>
  <si>
    <t>Jištění proti zkratu</t>
  </si>
  <si>
    <t>Celkové rozměry</t>
  </si>
  <si>
    <t>Celková hmotnost</t>
  </si>
  <si>
    <t>kg</t>
  </si>
  <si>
    <t>Krytem nebo skříní</t>
  </si>
  <si>
    <t>IK 08</t>
  </si>
  <si>
    <t>IK 10</t>
  </si>
  <si>
    <t>-</t>
  </si>
  <si>
    <t>Výrobní číslo</t>
  </si>
  <si>
    <t>Datum výroby:</t>
  </si>
  <si>
    <t>Popis</t>
  </si>
  <si>
    <t>Výrobek</t>
  </si>
  <si>
    <t>Označení rozváděče</t>
  </si>
  <si>
    <t>Ochrana krytem</t>
  </si>
  <si>
    <t>Technické požadavky na elektrická zařízení</t>
  </si>
  <si>
    <t xml:space="preserve">V </t>
  </si>
  <si>
    <t>Jméno</t>
  </si>
  <si>
    <t>Funkce</t>
  </si>
  <si>
    <t>Část zkoušky</t>
  </si>
  <si>
    <t>Popis zkoušky</t>
  </si>
  <si>
    <t>Výsledek</t>
  </si>
  <si>
    <t>Zkoušel</t>
  </si>
  <si>
    <t>Datum</t>
  </si>
  <si>
    <t>Prohlídka, namátková kontrola, měření spojů, ověření typů ochranných přístrojů a vodičů</t>
  </si>
  <si>
    <t>Prohlídka, srovnání s podklady výrobců</t>
  </si>
  <si>
    <t>Prohlídky a funkční zkoušky</t>
  </si>
  <si>
    <t>Prohlídka, zkouška</t>
  </si>
  <si>
    <t>Prohlídka, soulad s výrobní dokumentací</t>
  </si>
  <si>
    <t>Prohlídka, namátková kontrola spojů, ověření typů vodičů</t>
  </si>
  <si>
    <t>Použité meřící přístroje a prostředky:</t>
  </si>
  <si>
    <t>Přístroj, prostředek</t>
  </si>
  <si>
    <t>Číslo kalibrace</t>
  </si>
  <si>
    <t xml:space="preserve"> </t>
  </si>
  <si>
    <t xml:space="preserve">     </t>
  </si>
  <si>
    <t>Pevné části</t>
  </si>
  <si>
    <t>Pojistka</t>
  </si>
  <si>
    <t>dne:</t>
  </si>
  <si>
    <t>Výška</t>
  </si>
  <si>
    <t>Šířka</t>
  </si>
  <si>
    <t>Hloubka</t>
  </si>
  <si>
    <t xml:space="preserve"> vyhovuje</t>
  </si>
  <si>
    <t>V:</t>
  </si>
  <si>
    <t>Dne:</t>
  </si>
  <si>
    <t>Jméno a podpis výrobce:</t>
  </si>
  <si>
    <t>Jméno a podpis odběratele:</t>
  </si>
  <si>
    <t>Zvláštní provozní podmínky a další charakteristiky</t>
  </si>
  <si>
    <t>EU prohlášení o shodě</t>
  </si>
  <si>
    <t>Projektová specifikace - kusovník</t>
  </si>
  <si>
    <t>Obj. číslo</t>
  </si>
  <si>
    <t>Ostatní přístroje</t>
  </si>
  <si>
    <t>Počet</t>
  </si>
  <si>
    <t>Art.Nr.</t>
  </si>
  <si>
    <t>PRG</t>
  </si>
  <si>
    <t>Šířka netto (mm)</t>
  </si>
  <si>
    <t>Výška Net (mm)</t>
  </si>
  <si>
    <t>Hloubka Čistá (mm)</t>
  </si>
  <si>
    <t>Hmotnost netto (Kg)</t>
  </si>
  <si>
    <t>Max. Teplota</t>
  </si>
  <si>
    <t>Min. Teplota</t>
  </si>
  <si>
    <t>Ztrátový výkon (W)</t>
  </si>
  <si>
    <t>IKB01035--</t>
  </si>
  <si>
    <t>IK110010--</t>
  </si>
  <si>
    <t>IK110210--</t>
  </si>
  <si>
    <t>IK111010--</t>
  </si>
  <si>
    <t>IK123000--</t>
  </si>
  <si>
    <t>Koncová svorka TS 35</t>
  </si>
  <si>
    <t>W</t>
  </si>
  <si>
    <t>Typ:</t>
  </si>
  <si>
    <t>Typ skříně</t>
  </si>
  <si>
    <t>Max. dovolená teplota v rozváděči</t>
  </si>
  <si>
    <t>°C</t>
  </si>
  <si>
    <t>Hmotnost nespecifikovaných komponentů</t>
  </si>
  <si>
    <t>ISV10016--</t>
  </si>
  <si>
    <t>Pojistka 10x38,16A,gPV,1000V</t>
  </si>
  <si>
    <t>ISV10920--</t>
  </si>
  <si>
    <t>Celková hmotnost vybaveného rozváděče</t>
  </si>
  <si>
    <t>Teplota okolního vzduch - max. denní průměr</t>
  </si>
  <si>
    <t>Kontaktní osoba:</t>
  </si>
  <si>
    <t>Typ skříně (typ krytu):</t>
  </si>
  <si>
    <t>A - nástěnná</t>
  </si>
  <si>
    <t>Uspořádaní řad a modulů</t>
  </si>
  <si>
    <t>Typ rozvodnice (skříně)</t>
  </si>
  <si>
    <t>Určení rozávděče</t>
  </si>
  <si>
    <t xml:space="preserve">Plastový rozváděč nízkého napětí IP 65 </t>
  </si>
  <si>
    <t>Infolinka: 281 008 272</t>
  </si>
  <si>
    <t>Prohlašujeme na svoji výlučnou zodpovědnost, že výrobek splňuje požadavky všech nutných technických předpisů, že je za podmínek obvyklého použití bezpečný.</t>
  </si>
  <si>
    <t>Posouzení shody</t>
  </si>
  <si>
    <t>zákon č. 90/2016 Sb.</t>
  </si>
  <si>
    <t xml:space="preserve">Výrobek splňuje technické požadavky stanovené v zákonu č. 22/1997 Sb. v § 12 odst. 1 písm. b), postupem stanoveným dle § 12 odst. 3. </t>
  </si>
  <si>
    <t>Harmonizovné normy</t>
  </si>
  <si>
    <t>Mezinárodní normy</t>
  </si>
  <si>
    <t>IČ:</t>
  </si>
  <si>
    <t xml:space="preserve">Pokyny pro instalaci, provoz a údržbu typové řady rozváděčů </t>
  </si>
  <si>
    <t>Spolu s rozváděčem uživatel obdrží průvodní dokumentaci provedenou v českém jazyce obsahující zejména:</t>
  </si>
  <si>
    <t>·        tyto pokyny pro instalaci, provoz a údržbu</t>
  </si>
  <si>
    <t>·        schéma zapojení</t>
  </si>
  <si>
    <t>Skladování</t>
  </si>
  <si>
    <t>Vyvarujte se poškození výrobku.</t>
  </si>
  <si>
    <t>Přeprava</t>
  </si>
  <si>
    <t>Rozváděče lze přepravovat v obvyklých, přiměřeně fixovaných polohách. Stěnu s instalovanými ovládacími</t>
  </si>
  <si>
    <t>a signalizačními prvky zabezpečte proti poškození. Chraňte před nadměrnou vlhkostí, teplotou, mrazem, prachem apod. Vyvarujte se jeho pádům. Při přepravě rozváděč nevystavujte nadměrným otřesům a manipulaci provádějte s maximální opatrností. Rozváděče větší hmotnosti jsou vybaveny prostředky pro použití mechanizace.</t>
  </si>
  <si>
    <t>Instalace, provoz a údržba:</t>
  </si>
  <si>
    <t xml:space="preserve">a u připojovacích svorek se nezmenšily povrchové cesty a vzdušné vzdálenosti. Při připojování vedení do šroubových svorek spoje dotahujte momentovým klíčem s nastaveným momentem dle spojovacího prostředku a dle doporučení jejich výrobců (např. svorky jističů 2 Nm). </t>
  </si>
  <si>
    <t xml:space="preserve">Toto je výrobek třídy A. V prostředí domácnosti může tento výrobek vyvolávat rušení rádiového příjmu; </t>
  </si>
  <si>
    <t>v tomto případě může být po uživateli požadováno, aby přijal příslušná opatření.</t>
  </si>
  <si>
    <t xml:space="preserve">Při revizi proveďte také vyčištění jeho vnitřního prostoru a dotažení šroubových spojů! </t>
  </si>
  <si>
    <t>CSPG11----</t>
  </si>
  <si>
    <t>Vývodka PG 11 s maticí, 5-10 mm</t>
  </si>
  <si>
    <t>11.2 Stupeň ochrany skříně</t>
  </si>
  <si>
    <t>11.3 Vzdušné vzdálenosti</t>
  </si>
  <si>
    <t>11.3 Povrchové cesty</t>
  </si>
  <si>
    <t>11.4 Ochrana před úrazem elektrickým proudem a integrita ochranných obvodů</t>
  </si>
  <si>
    <t>11.5 Vestavění spínacích přístrojů, kontrola vestavných součástí</t>
  </si>
  <si>
    <t>11.6 Vnitřní elektrické obvody a spoje</t>
  </si>
  <si>
    <t>11.7 Svorky pro vnější vodiče</t>
  </si>
  <si>
    <t>11.8 Mechanická funkce</t>
  </si>
  <si>
    <t>11.9 Dielektrické vlastnosti</t>
  </si>
  <si>
    <t>11.10 Zapojení, pracovní charakteristiky a funkce</t>
  </si>
  <si>
    <t xml:space="preserve">Podpis/y    </t>
  </si>
  <si>
    <t>směrnice EP a Rady 2014/35/EU, nařízení vlády č. 118/2016 Sb. (LVD), 
směrnice EP a Rady 2014/30/EU, nařízení vlády č. 117/2016 Sb. (EMC),
směrnice EP a Rady 2011/65/EU, nařízení vlády č. 481/2012 Sb. (RoHS2)</t>
  </si>
  <si>
    <t>Výrobce rozváděče:</t>
  </si>
  <si>
    <t>·        charakteristiky rozhraní</t>
  </si>
  <si>
    <t>Odolnost proti mechanickým nárazům IK</t>
  </si>
  <si>
    <t>IS01111100</t>
  </si>
  <si>
    <t>IS01121100</t>
  </si>
  <si>
    <t>Blok 1-pólový 125A, přívod 1x 35mm², vývod 6x 16mm²</t>
  </si>
  <si>
    <t xml:space="preserve"> Charakteristiky rozhraní - Krycí list</t>
  </si>
  <si>
    <t>Dostupný typ FVE rozváděče</t>
  </si>
  <si>
    <t>Typ fotovoltaického rozváděče:</t>
  </si>
  <si>
    <t>Definice rozváděče</t>
  </si>
  <si>
    <t>IS506122-A</t>
  </si>
  <si>
    <t>IS01120600</t>
  </si>
  <si>
    <t>M270020---</t>
  </si>
  <si>
    <t>Obj. čísla</t>
  </si>
  <si>
    <t>Počty</t>
  </si>
  <si>
    <t>počty</t>
  </si>
  <si>
    <t>Svodič přepětí po fotovoltaiku třídy II(C), 600VDC,20kA</t>
  </si>
  <si>
    <t>Pojistkový odpojovač 10x38mm, 2pólový, 25A, fotovoltaika</t>
  </si>
  <si>
    <t>Vývodka M20x1,5 bez matice, 6-12 mm, RAL 7035</t>
  </si>
  <si>
    <t>65/20</t>
  </si>
  <si>
    <t>Tisknou se modré listy</t>
  </si>
  <si>
    <t>Napětí</t>
  </si>
  <si>
    <t>V DC</t>
  </si>
  <si>
    <t>Proud</t>
  </si>
  <si>
    <t>Jmenovitý činitel nesoudobosti</t>
  </si>
  <si>
    <t>M271020---</t>
  </si>
  <si>
    <t>Matice M20X1.5</t>
  </si>
  <si>
    <t>Řadová svorka CBC.10 šedá, 10mm²</t>
  </si>
  <si>
    <t>Koncová deska CBC 2,5-10mm², šedá</t>
  </si>
  <si>
    <t>Řadová svorka CBC.10 modrá, 10mm²</t>
  </si>
  <si>
    <t>Pojistka pro fotovoltaiku 10x38, 20A, gPV, 1000VDC</t>
  </si>
  <si>
    <t>Svodič přepětí pro fotovoltaiku T1/2, 12,5 kA, modulový</t>
  </si>
  <si>
    <t>Svodič přepětí pro fotovoltaiku T2, 20 kA, modulový</t>
  </si>
  <si>
    <t>IEC 61439-2, příloha DD</t>
  </si>
  <si>
    <t>Venkovní - bez slunečního záření</t>
  </si>
  <si>
    <t>BK05</t>
  </si>
  <si>
    <t>Minipol</t>
  </si>
  <si>
    <t>ČSN EN IEC 61439-1:2022 a ČSN EN 61349-2</t>
  </si>
  <si>
    <t>Kusové ověření dle ČSN EN IEC 61439-1:2022</t>
  </si>
  <si>
    <t>Měřením nebo zkouškou impulzním výdržným napětím dle ČSN EN IEC 61439-1:2022 /11.3</t>
  </si>
  <si>
    <t>Měřením nebo zkouškou impulzním výdržným napětím dle ČSN EN IEC 61439-1:2022/11.3</t>
  </si>
  <si>
    <t>ČSN EN IEC 61439-2:2021, příloha DD</t>
  </si>
  <si>
    <t>K - konektroy</t>
  </si>
  <si>
    <t>S - Svorky</t>
  </si>
  <si>
    <t>Způsob připojení</t>
  </si>
  <si>
    <t>/6 (6,25 kA ); 12(12,5 kA); 25(25 kA)</t>
  </si>
  <si>
    <t>3 -T1/T2</t>
  </si>
  <si>
    <t>2 -T2</t>
  </si>
  <si>
    <t>1 - T1</t>
  </si>
  <si>
    <t>Svodiče - počet/typ/odolnost</t>
  </si>
  <si>
    <t>Jmenovitý proud (A) / napětí (V) rozvodnice(rozváděče)</t>
  </si>
  <si>
    <t>provedení</t>
  </si>
  <si>
    <t>počet řad; provedení; počet modulů v řadě</t>
  </si>
  <si>
    <t>1-16</t>
  </si>
  <si>
    <t>Počet vstupů PV pole</t>
  </si>
  <si>
    <t>IM008/088</t>
  </si>
  <si>
    <t>Polyesterový rozváděč Minipol IP 66</t>
  </si>
  <si>
    <t>MI</t>
  </si>
  <si>
    <t>BK050</t>
  </si>
  <si>
    <t>05</t>
  </si>
  <si>
    <t>PVA dle ČSN EN IEC 61439-2</t>
  </si>
  <si>
    <t>F</t>
  </si>
  <si>
    <t>- S</t>
  </si>
  <si>
    <t>02/3/12</t>
  </si>
  <si>
    <t>1A12</t>
  </si>
  <si>
    <t xml:space="preserve">05 </t>
  </si>
  <si>
    <t>Klíč pro typové označení PVA rozváděčů</t>
  </si>
  <si>
    <t>BK050201--</t>
  </si>
  <si>
    <t>BK050202--</t>
  </si>
  <si>
    <t>BK050203--</t>
  </si>
  <si>
    <t>BK050204--</t>
  </si>
  <si>
    <t>BK050206--</t>
  </si>
  <si>
    <t>BK050205--</t>
  </si>
  <si>
    <t>BK050208--</t>
  </si>
  <si>
    <t>IM088843--</t>
  </si>
  <si>
    <t>IMCH0043--</t>
  </si>
  <si>
    <t>DV900333--</t>
  </si>
  <si>
    <t>IM088854--</t>
  </si>
  <si>
    <t>IMCH0054--</t>
  </si>
  <si>
    <t>IM088864--</t>
  </si>
  <si>
    <t>IMCH0064--</t>
  </si>
  <si>
    <t>IM088886--</t>
  </si>
  <si>
    <t>IMCH0586--</t>
  </si>
  <si>
    <t>Rozvodnice nástěnná, 1x8 mod.,IP65, průhledné dveře</t>
  </si>
  <si>
    <t>Rozvodnice nástěnná, 1x12 mod.,IP65, průhledné dveře</t>
  </si>
  <si>
    <t>Rozvodnice nástěnná, 2x12 mod.,IP65, průhledné dveře</t>
  </si>
  <si>
    <t>Rozvodnice nástěnná, 3x12mod.,IP65, průhledné dveře</t>
  </si>
  <si>
    <t>Rozvodnice nástěnná, 2x18 mod.,IP65, průhledné dveře</t>
  </si>
  <si>
    <t>Rozvodnice nástěnná, 1x18 mod.,IP65, průhledné dveře</t>
  </si>
  <si>
    <t>Rozvodnice nástěnná, 3x18 mod.,IP65, průhledné dveře</t>
  </si>
  <si>
    <t>Cylindrická půlvložka EMKA 333 typu FAB, 1 klíč</t>
  </si>
  <si>
    <t>Polyesterová skříň Minipol, výsuvná klika, 400x300x200</t>
  </si>
  <si>
    <t>Polyesterová skříň Minipol, výsuvná klika, 500x400x200</t>
  </si>
  <si>
    <t>Polyesterová skříň Minipol, výsuvná klika, 600x400x230</t>
  </si>
  <si>
    <t>Polyesterová skříň Minipol, výsuvná klika, 800x600x300</t>
  </si>
  <si>
    <t>Instalační konstrukce Minipol, 400x300, 2x12, 24 modulů</t>
  </si>
  <si>
    <t>Instalační konstrukce Minipol, 500x400, 3x18, 54 modulů</t>
  </si>
  <si>
    <t>Instalační konstrukce Minipol, 600x400, 3x18, 54 modulů</t>
  </si>
  <si>
    <t>Instalační konstrukce Minipol, 800x600, 5x29, 145 modulů</t>
  </si>
  <si>
    <t>CSFV023301</t>
  </si>
  <si>
    <t>32/1000</t>
  </si>
  <si>
    <t>max. 128 A / 60 - 1000 V DC</t>
  </si>
  <si>
    <t>max. 256 A / 60 - 1000 V DC</t>
  </si>
  <si>
    <t>Soudobost</t>
  </si>
  <si>
    <t>Datum výroby</t>
  </si>
  <si>
    <r>
      <t>I</t>
    </r>
    <r>
      <rPr>
        <vertAlign val="subscript"/>
        <sz val="24"/>
        <rFont val="Calibri"/>
        <family val="2"/>
        <charset val="238"/>
      </rPr>
      <t>nA</t>
    </r>
    <r>
      <rPr>
        <sz val="24"/>
        <rFont val="Calibri"/>
        <family val="2"/>
        <charset val="238"/>
      </rPr>
      <t>=</t>
    </r>
  </si>
  <si>
    <t>Rozměry</t>
  </si>
  <si>
    <t>Krytí</t>
  </si>
  <si>
    <t>Mechani.</t>
  </si>
  <si>
    <t>Stringů</t>
  </si>
  <si>
    <t>Nespec. Ztrát.</t>
  </si>
  <si>
    <t>Celkový ztrát.</t>
  </si>
  <si>
    <t>Zvývající ztrát.</t>
  </si>
  <si>
    <t>t okolí</t>
  </si>
  <si>
    <t>max. teplota</t>
  </si>
  <si>
    <t>nespec. Hmotnost</t>
  </si>
  <si>
    <t>ČSN EN IEC 61439-1:2022, ČSN EN IEC 61439-2:2021, příloha DD</t>
  </si>
  <si>
    <t>Fotovoltaický rozváděč</t>
  </si>
  <si>
    <t>Skříň</t>
  </si>
  <si>
    <t>Typ svodiče přepětí</t>
  </si>
  <si>
    <t>Způsoby vnitřního oddělení</t>
  </si>
  <si>
    <t>Popis typů elektrických spojů funkčních jednotek</t>
  </si>
  <si>
    <t>Způsob 1</t>
  </si>
  <si>
    <t>FFF</t>
  </si>
  <si>
    <t>Svodič přepětí po fotovoltaiku 600 V DC, T2, 20kA</t>
  </si>
  <si>
    <t>Svodič přepětí pro fotovoltaiku 1000 V DC, T1/2, 12,5 kA</t>
  </si>
  <si>
    <t>Svodič přepětí pro fotovoltaiku 1000 V DC, T2, 20 kA</t>
  </si>
  <si>
    <t xml:space="preserve">ČSN EN IEC 61439-1:2022 </t>
  </si>
  <si>
    <t>18) Zvláštní pozornost je nutné věnovat rozváděčům DC pro FVE, tyto rozváděče není přípustné instalovat na přímé sluneční záření a v případě venkovní instalace je nutné zabezpečit instalaci v prostorách s omezeným přístupem</t>
  </si>
  <si>
    <t>dle ČSN EN IEC 61439-1:2022, ČSN EN IEC 61439-2:2021</t>
  </si>
  <si>
    <r>
      <t>Obecný popis:</t>
    </r>
    <r>
      <rPr>
        <sz val="10"/>
        <color indexed="8"/>
        <rFont val="Calibri"/>
        <family val="2"/>
        <charset val="238"/>
      </rPr>
      <t xml:space="preserve"> </t>
    </r>
  </si>
  <si>
    <t>·        prohlášení o shodě</t>
  </si>
  <si>
    <t>Neskladujte rozváděč v nevyhovujících podmínkách, zejména ho chraňte před nadměrnou vlhkostí (např. v nevysušených stavebně nedokončených prostorech), vysokou teplotou a mrazem (mimo rozsah -25 °C až +40°C).</t>
  </si>
  <si>
    <r>
      <t xml:space="preserve">1)      </t>
    </r>
    <r>
      <rPr>
        <b/>
        <sz val="10"/>
        <color indexed="8"/>
        <rFont val="Calibri"/>
        <family val="2"/>
        <charset val="238"/>
      </rPr>
      <t xml:space="preserve">S ohledem na charakter výrobku a možné ohrožení, musí být dodržovány dále uvedené instrukce a obecně platné bezpečnostní předpisy. </t>
    </r>
  </si>
  <si>
    <r>
      <t xml:space="preserve">2)      Při instalaci provozu a údržbě rozváděče respektujte charakteristická data konkrétního rozváděče. </t>
    </r>
    <r>
      <rPr>
        <sz val="10"/>
        <color indexed="8"/>
        <rFont val="Calibri"/>
        <family val="2"/>
        <charset val="238"/>
      </rPr>
      <t xml:space="preserve">Pro potřeby zajištění kompatibility se jmenovitými hodnotami obvodů, k nimž má být rozváděč připojen a s podmínkami elektrické instalace v místě umístění rozváděče slouží formulář s charakteristikami rozhraní konkrétního rozváděče, který je nedílnou součástí tohoto návodu. </t>
    </r>
  </si>
  <si>
    <t>3)      Připojení rozváděče ke zdroji napájení v místě instalace, zapojení výstupních obvodů, údržbu a opravy může provádět pouze pracovník s příslušnou elektrotechnickou kvalifikací.</t>
  </si>
  <si>
    <t>4)      Obsluhou může být pověřen vyškolený pracovník.</t>
  </si>
  <si>
    <t>5)      Před instalací překontrolujte stav rozváděče, především zda nedošlo po jeho přepravě k poškození nebo k uvolnění svorek.</t>
  </si>
  <si>
    <t xml:space="preserve">6)      Při zabudování skříně zapuštěných rozváděčů věnujte pozornost možné deformaci (např. rozepřením vnitřku skříně). </t>
  </si>
  <si>
    <t>7)      Při instalaci a připojování přívodního vedení a výstupních vedení si počínejte tak, abyste neporušili deklarované krytí</t>
  </si>
  <si>
    <t>8)      Při instalaci rozváděčů s ochranným opatřením dvojité izolace věnujte pozornost především neporušení principů zajišťující ochranná opatření dle ČSN 33 2000-4-41. Při instalaci rozváděčů s ochranným opatřením automatické odpojení od zdroje, věnujte pozornost především uzemnění a připojení ochranného vodiče dle ČSN 33 2000-4-41</t>
  </si>
  <si>
    <t>9)      Po dokončení instalace rozváděče, připojení výstupních vedení ke svorkám rozváděče před jeho uvedením</t>
  </si>
  <si>
    <t>do provozu především proveďte kontrolu nastavení požadovaných hodnot ochrany proti přetížení dle štítkových hodnot připojovaného zařízení, kontrolu provedených ochranných opatření, zejména dotažení spojů vodičů ochranného obvodu a následně zajistěte provedení výchozí revize připojení rozváděče k instalaci v souladu s ČSN 33 2000-6.</t>
  </si>
  <si>
    <t xml:space="preserve">10)   Do vnitřního zapojení rozváděče neprovádějte úpravy. </t>
  </si>
  <si>
    <t>11)   Pokud jsou úpravy nezbytné, je třeba je výrobcem schválit, jinak se stáváte výrobcem rozváděče s povinností postupů dle předmětných právních předpisů a norem.</t>
  </si>
  <si>
    <t>12)   Výměnu poškozených přístrojů proveďte pouze za jiný výrobek shodného typu a parametrů. Po opravě vyhotovte písemný záznam s podpisem pracovníka s příslušnou elektrotechnickou kvalifikací.</t>
  </si>
  <si>
    <r>
      <t>13)   Před jakoukoliv prací kvalifikovaným pracovníkem na elektrickém zařízení je dodržujte ustanovení ČSN EN 50110-1, především odpojte elektrické zařízení od elektrické sítě, zajistěte pracoviště a ověřte, zda není přítomno cizí nebezpečné napětí z jiného zdroje.</t>
    </r>
    <r>
      <rPr>
        <b/>
        <sz val="10"/>
        <color indexed="8"/>
        <rFont val="Calibri"/>
        <family val="2"/>
        <charset val="238"/>
      </rPr>
      <t xml:space="preserve"> Pozor na záložní zdroje (UPS), motorgenerátory, kondenzátory, indukci apod.!</t>
    </r>
  </si>
  <si>
    <r>
      <t xml:space="preserve">14)   </t>
    </r>
    <r>
      <rPr>
        <b/>
        <sz val="10"/>
        <color indexed="8"/>
        <rFont val="Calibri"/>
        <family val="2"/>
        <charset val="238"/>
      </rPr>
      <t xml:space="preserve">Výstraha platná pouze pro rozváděče třídy A provedené do průmyslového prostředí EMC: </t>
    </r>
  </si>
  <si>
    <t xml:space="preserve">15)   Běžná údržba kvalifikovaným pracovníkem vyžaduje pouze občasné provedení prohlídky rozváděče (kontrola mechanického poškození zejména krytů, izolace a značení). </t>
  </si>
  <si>
    <r>
      <t xml:space="preserve">16)   </t>
    </r>
    <r>
      <rPr>
        <b/>
        <sz val="10"/>
        <color indexed="8"/>
        <rFont val="Calibri"/>
        <family val="2"/>
        <charset val="238"/>
      </rPr>
      <t>Rozváděče podrobujte pravidelným revizím v termínech dle prostředí, ve kterém jsou instalovány.</t>
    </r>
  </si>
  <si>
    <r>
      <t xml:space="preserve">17)   </t>
    </r>
    <r>
      <rPr>
        <b/>
        <sz val="10"/>
        <color indexed="8"/>
        <rFont val="Calibri"/>
        <family val="2"/>
        <charset val="238"/>
      </rPr>
      <t>Je-li zařízení poškozeno nebo nevykazuje-li správnou funkci je nezbytné jeho neprodlené odpojení od napájení a kontaktovat výrobce rozváděče nebo přivolat pracovníka s příslušnou elektrotechnickou kvalifikací.</t>
    </r>
  </si>
  <si>
    <t>Samolepka PV symbol na fotovoltaiku</t>
  </si>
  <si>
    <t>Lang Text(cs-CZ)</t>
  </si>
  <si>
    <t>IK026230--</t>
  </si>
  <si>
    <t>IKB01037PE</t>
  </si>
  <si>
    <t>≤10</t>
  </si>
  <si>
    <r>
      <t>Jmenovité napětí U</t>
    </r>
    <r>
      <rPr>
        <vertAlign val="subscript"/>
        <sz val="14"/>
        <rFont val="Calibri"/>
        <family val="2"/>
      </rPr>
      <t>n</t>
    </r>
    <r>
      <rPr>
        <sz val="14"/>
        <rFont val="Calibri"/>
        <family val="2"/>
        <scheme val="minor"/>
      </rPr>
      <t xml:space="preserve"> DC</t>
    </r>
  </si>
  <si>
    <r>
      <t>Jmenovité pracovní napětí proudového okruhu U</t>
    </r>
    <r>
      <rPr>
        <vertAlign val="subscript"/>
        <sz val="14"/>
        <rFont val="Calibri"/>
        <family val="2"/>
      </rPr>
      <t>e</t>
    </r>
  </si>
  <si>
    <r>
      <t>Jmenovité izolační napětí U</t>
    </r>
    <r>
      <rPr>
        <vertAlign val="subscript"/>
        <sz val="14"/>
        <rFont val="Calibri"/>
        <family val="2"/>
      </rPr>
      <t>i</t>
    </r>
  </si>
  <si>
    <r>
      <t>Jmenovité impulzní výdržné napětí U</t>
    </r>
    <r>
      <rPr>
        <vertAlign val="subscript"/>
        <sz val="14"/>
        <rFont val="Calibri"/>
        <family val="2"/>
      </rPr>
      <t>imp</t>
    </r>
  </si>
  <si>
    <r>
      <t>Jmenovitý proud rozváděče I</t>
    </r>
    <r>
      <rPr>
        <vertAlign val="subscript"/>
        <sz val="14"/>
        <rFont val="Calibri"/>
        <family val="2"/>
      </rPr>
      <t>nA</t>
    </r>
  </si>
  <si>
    <r>
      <t>Jmenovitý proud obvodu I</t>
    </r>
    <r>
      <rPr>
        <vertAlign val="subscript"/>
        <sz val="14"/>
        <rFont val="Calibri"/>
        <family val="2"/>
      </rPr>
      <t>ng</t>
    </r>
  </si>
  <si>
    <r>
      <t>Jmenovitý krátkodobý výdržný proud I</t>
    </r>
    <r>
      <rPr>
        <vertAlign val="subscript"/>
        <sz val="10"/>
        <rFont val="Calibri"/>
        <family val="2"/>
        <scheme val="minor"/>
      </rPr>
      <t>cw</t>
    </r>
    <r>
      <rPr>
        <sz val="10"/>
        <rFont val="Calibri"/>
        <family val="2"/>
        <scheme val="minor"/>
      </rPr>
      <t xml:space="preserve"> (hlavního obvodu)</t>
    </r>
  </si>
  <si>
    <r>
      <t>Jmenovitý podmíněný zkratový proud I</t>
    </r>
    <r>
      <rPr>
        <vertAlign val="subscript"/>
        <sz val="14"/>
        <rFont val="Calibri"/>
        <family val="2"/>
      </rPr>
      <t>cc</t>
    </r>
  </si>
  <si>
    <t>IT/DC</t>
  </si>
  <si>
    <t xml:space="preserve">Vnitřní </t>
  </si>
  <si>
    <t>Osoba znalá</t>
  </si>
  <si>
    <t>Jmenovitý činitel nesoudobosti (RFD)</t>
  </si>
  <si>
    <t>Poznámky:</t>
  </si>
  <si>
    <t>1.</t>
  </si>
  <si>
    <t>2.</t>
  </si>
  <si>
    <t>3.</t>
  </si>
  <si>
    <t>Celkový ztrátový výkon</t>
  </si>
  <si>
    <t>1-polová odbočná svorka "PE" 192A, vs. 35+70mm², výs.6x16mm²</t>
  </si>
  <si>
    <t>Odbočovací svorkovnice 35 mm², 1pólová, zeleno-žlutá</t>
  </si>
  <si>
    <t>Ulice:</t>
  </si>
  <si>
    <t>2/M DC / IT</t>
  </si>
  <si>
    <t>2 - vnitřní domovní</t>
  </si>
  <si>
    <t>3 - vnitřní jiné než domovní</t>
  </si>
  <si>
    <t>4 - venkovní</t>
  </si>
  <si>
    <t>Jméno odběratele:</t>
  </si>
  <si>
    <t>Protokol oteplení rozváděče</t>
  </si>
  <si>
    <t>IEC 61439-1, IEC 61439-2</t>
  </si>
  <si>
    <t>Vytvořeno v (město):</t>
  </si>
  <si>
    <t>ISV10012--</t>
  </si>
  <si>
    <t>ISV10010--</t>
  </si>
  <si>
    <t>ISV10008--</t>
  </si>
  <si>
    <t>Pojistka 10x38,8A,gPV,1000V</t>
  </si>
  <si>
    <t>Pojistka 10x38,10A,gPV,1000V</t>
  </si>
  <si>
    <t>Pojistka 10x38,12A,gPV,1000V</t>
  </si>
  <si>
    <t>Velikost pojistky</t>
  </si>
  <si>
    <t>Pojistka 10x38, 16A, gPV</t>
  </si>
  <si>
    <t>Pojistka 10x38, 12A, gPV</t>
  </si>
  <si>
    <t>Pojistka 10x38, 10A, gPV</t>
  </si>
  <si>
    <t>Pojistka 10x38, 8A, gPV</t>
  </si>
  <si>
    <t>Blok 1pólový 125A, přívod 1x 35mm², vývod 6x 16mm²</t>
  </si>
  <si>
    <t>napětí</t>
  </si>
  <si>
    <t>typ</t>
  </si>
  <si>
    <t>Počet svodičů</t>
  </si>
  <si>
    <t>Varování:</t>
  </si>
  <si>
    <t>NEPŘÍMÝ.ODKAZ("'Zdrojová data'!H59:H"&amp;(ŘÁDEK('Zdrojová data'!H58)+POZVYHLEDAT('Zdrojová data'!E4;'Zdrojová data'!E59:E75;0)))</t>
  </si>
  <si>
    <t>Rozváděč označit štítkem pozor napájení ze dvou stran</t>
  </si>
  <si>
    <t>Počet vstupů</t>
  </si>
  <si>
    <t>Max. počet SPD/pojis.od.</t>
  </si>
  <si>
    <t>počty na 5.list</t>
  </si>
  <si>
    <t>Počet pojistkových odpojovačů</t>
  </si>
  <si>
    <t>IKB01037--</t>
  </si>
  <si>
    <t>1polová odbočná svorka 192A, vs. 35+70mm², výs. 6x16mm²</t>
  </si>
  <si>
    <t>IKB01037N-</t>
  </si>
  <si>
    <t>1polová odbočná svorka N 192A, vs. 35+70mm², výs. 6x16mm²</t>
  </si>
  <si>
    <t>1polová odbočná svorka PE 192A, vs. 35+70mm², výs.6x16mm²</t>
  </si>
  <si>
    <t>Max. proud</t>
  </si>
  <si>
    <t>max. odpojovačů</t>
  </si>
  <si>
    <t>Počet odpojovačů</t>
  </si>
  <si>
    <t>Počet vvstupů</t>
  </si>
  <si>
    <t>BK050097--</t>
  </si>
  <si>
    <t>Zámek pro rozvodnice BK05 , krytí IP65</t>
  </si>
  <si>
    <t>65/00</t>
  </si>
  <si>
    <t>4.</t>
  </si>
  <si>
    <t>Zde můžete vložit vaše logo</t>
  </si>
  <si>
    <t>5.</t>
  </si>
  <si>
    <t>6.</t>
  </si>
  <si>
    <t>Výkresy lze stáhnou v aplikaci Schrack Design v sekci: Šablony</t>
  </si>
  <si>
    <t>FV Box BK05 01</t>
  </si>
  <si>
    <t>FV Box BK05 02</t>
  </si>
  <si>
    <t>FV Box BK05 03</t>
  </si>
  <si>
    <t>FV Box BK05 04</t>
  </si>
  <si>
    <t>FV Box BK05 05</t>
  </si>
  <si>
    <t>FV Box BK05 06</t>
  </si>
  <si>
    <t>FV Box BK05 07</t>
  </si>
  <si>
    <t>FV Box BK05 08</t>
  </si>
  <si>
    <t>FV Box Mini 02</t>
  </si>
  <si>
    <t>FV Box Mini 04</t>
  </si>
  <si>
    <t>FV Box Mini 06</t>
  </si>
  <si>
    <t>FV Box Mini 09</t>
  </si>
  <si>
    <t>FV Box Mini 12</t>
  </si>
  <si>
    <t>FV Box Mini 16</t>
  </si>
  <si>
    <t>Rozváděče PSC určené k jištění elektrických vedení sestavené výrobcem dle požadavků odběratele, projektové dokumentace a v souladu s příslušnými ustanoveními ČSN EN IEC 61439-1:2022 v rozváděčových skříních tvořící kombinaci jednoho nebo více spínacích přístrojů nn spolu s přidruženým řídícím, měřícím, signalizačním, regulačním a ochranným zařízením včetně všech vnitřních elektrických spojů, mechanických vazeb a konstrukčních částí. Pro potřeby zajištění kompatibility se jmenovitými hodnotami obvodů, k nimž má být rozváděč připojen a s podmínkami elektrické instalace slouží formulář s charakteristikami rozhraní konkrétního rozváděče, který je nedílnou součástí tohoto návodu. Rozváděče této řady jsou určeny pro obsluhu prováděnou osobami s elektrotechnickou kvalifikací.</t>
  </si>
  <si>
    <t>Pojistka 10x38, 20A, gPV</t>
  </si>
  <si>
    <t>ISV10020--</t>
  </si>
  <si>
    <t>Pojistka 10x38, 25A, gPV</t>
  </si>
  <si>
    <t>FV Box BK05, 1x12 mod., s SPD, max. 2 odpojovače (32A)</t>
  </si>
  <si>
    <t>FV Box BK05, 1x18 mod., s SPD, max. 3 odpojovače (50 A)</t>
  </si>
  <si>
    <t>FV Box BK05, 2x12 mod., s SPD, max. 4 odpojovače (64A)</t>
  </si>
  <si>
    <t>FV Box BK05, 3x12 mod., s SPD, max. 5 odpojovačů (80A)</t>
  </si>
  <si>
    <t>FV Box BK05, 3x12 mod., s SPD, max. 6 odpojovačů (96 A)</t>
  </si>
  <si>
    <t>FV Box BK05, 3x18 mod., s SPD, max. 7 odpojovačů (112 A)</t>
  </si>
  <si>
    <t>FV Box BK05, 3x18 mod., s SPD, max. 8 odpojovačů (128A)</t>
  </si>
  <si>
    <t>FV Box Minipol 400x300x200 s SPD, max. 2 odpojovače (32A)</t>
  </si>
  <si>
    <t>FV Box Minipol 400x300x200 s SPD, max. 4 odpojovače (64A)</t>
  </si>
  <si>
    <t>FV Box Minipol 500x400x200 s SPD, max. 6 odpojovačů (96 A)</t>
  </si>
  <si>
    <t>FV Box Minipol 600x400x230 s SPD, max. 9 odpojovačů (144) A)</t>
  </si>
  <si>
    <t>FV Box Minipol 800x600x300 s SPD, max. 12 odpojovačů (192 A)</t>
  </si>
  <si>
    <t>FV Box Minipol 800x600x300 s SPD, max. 16 odpojovačů (256 A)</t>
  </si>
  <si>
    <t>FV Box BK05, 1x8 mod., s SPD, max. 1 odpojovač (16 A)</t>
  </si>
  <si>
    <t>CSPO032102</t>
  </si>
  <si>
    <t>Pojistkový odpojovač 32A/1000VDC/2pól</t>
  </si>
  <si>
    <t>Pojistkový odpojovač</t>
  </si>
  <si>
    <t>PVA instalované na místě s omezeným přístupem (BK05 a Minipol)</t>
  </si>
  <si>
    <t>PVA instalované na místě bez omezeného přístupu (pouze Minipol)</t>
  </si>
  <si>
    <t>CSISV10025</t>
  </si>
  <si>
    <t>7.</t>
  </si>
  <si>
    <t>Nezapomeňte vyplnit Kusové ověření</t>
  </si>
  <si>
    <t>Aktuální . počet SPD/pojis.od.</t>
  </si>
  <si>
    <t>Funkce/pozice (List 3)</t>
  </si>
  <si>
    <t>verze 1.08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</si>
</sst>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[&lt;=9999999]###\ ##\ ##;##\ ##\ ##\ ##"/>
  </numFmts>
  <fonts count="74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</font>
    <font>
      <sz val="12"/>
      <color indexed="8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theme="0" tint="-0.34998626667073579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8"/>
      <color indexed="8"/>
      <name val="Calibri"/>
      <family val="2"/>
      <charset val="238"/>
      <scheme val="minor"/>
    </font>
    <font>
      <sz val="18"/>
      <color indexed="8"/>
      <name val="Calibri"/>
      <family val="2"/>
      <charset val="238"/>
      <scheme val="minor"/>
    </font>
    <font>
      <sz val="14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20"/>
      <color indexed="8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4"/>
      <color indexed="10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3"/>
      <color indexed="8"/>
      <name val="Calibri"/>
      <family val="2"/>
      <charset val="238"/>
      <scheme val="minor"/>
    </font>
    <font>
      <b/>
      <sz val="16"/>
      <color indexed="8"/>
      <name val="Calibri"/>
      <family val="2"/>
      <charset val="238"/>
      <scheme val="minor"/>
    </font>
    <font>
      <b/>
      <sz val="28"/>
      <name val="Calibri"/>
      <family val="2"/>
      <charset val="238"/>
      <scheme val="minor"/>
    </font>
    <font>
      <b/>
      <sz val="24"/>
      <color indexed="8"/>
      <name val="Calibri"/>
      <family val="2"/>
      <charset val="238"/>
      <scheme val="minor"/>
    </font>
    <font>
      <sz val="24"/>
      <color indexed="8"/>
      <name val="Calibri"/>
      <family val="2"/>
      <charset val="238"/>
      <scheme val="minor"/>
    </font>
    <font>
      <sz val="20"/>
      <color indexed="8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u/>
      <sz val="14"/>
      <name val="Calibri"/>
      <family val="2"/>
      <charset val="238"/>
      <scheme val="minor"/>
    </font>
    <font>
      <sz val="14"/>
      <color indexed="81"/>
      <name val="Tahoma"/>
      <family val="2"/>
    </font>
    <font>
      <sz val="11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b/>
      <sz val="80"/>
      <color indexed="8"/>
      <name val="Calibri"/>
      <family val="2"/>
      <charset val="238"/>
    </font>
    <font>
      <sz val="24"/>
      <color indexed="8"/>
      <name val="Calibri"/>
      <family val="2"/>
      <charset val="238"/>
    </font>
    <font>
      <sz val="60"/>
      <color indexed="8"/>
      <name val="Calibri"/>
      <family val="2"/>
      <charset val="238"/>
    </font>
    <font>
      <sz val="24"/>
      <color theme="1"/>
      <name val="Calibri"/>
      <family val="2"/>
      <charset val="238"/>
      <scheme val="minor"/>
    </font>
    <font>
      <sz val="24"/>
      <name val="Calibri"/>
      <family val="2"/>
      <charset val="238"/>
    </font>
    <font>
      <vertAlign val="subscript"/>
      <sz val="24"/>
      <name val="Calibri"/>
      <family val="2"/>
      <charset val="238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7030A0"/>
      <name val="Calibri"/>
      <family val="2"/>
      <charset val="238"/>
      <scheme val="minor"/>
    </font>
    <font>
      <sz val="9"/>
      <color indexed="81"/>
      <name val="Tahoma"/>
      <family val="2"/>
    </font>
    <font>
      <sz val="12"/>
      <color indexed="81"/>
      <name val="Tahoma"/>
      <family val="2"/>
    </font>
    <font>
      <sz val="10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i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name val="Calibri"/>
      <family val="2"/>
      <scheme val="minor"/>
    </font>
    <font>
      <vertAlign val="subscript"/>
      <sz val="14"/>
      <name val="Calibri"/>
      <family val="2"/>
    </font>
    <font>
      <vertAlign val="subscript"/>
      <sz val="10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4" fillId="0" borderId="0"/>
    <xf numFmtId="0" fontId="9" fillId="0" borderId="0" applyNumberFormat="0" applyFill="0" applyBorder="0" applyAlignment="0" applyProtection="0"/>
    <xf numFmtId="0" fontId="5" fillId="0" borderId="0"/>
    <xf numFmtId="0" fontId="5" fillId="0" borderId="0"/>
    <xf numFmtId="0" fontId="10" fillId="0" borderId="0"/>
    <xf numFmtId="0" fontId="1" fillId="0" borderId="0"/>
    <xf numFmtId="43" fontId="48" fillId="0" borderId="0" applyFont="0" applyFill="0" applyBorder="0" applyAlignment="0" applyProtection="0"/>
  </cellStyleXfs>
  <cellXfs count="55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9" xfId="0" applyBorder="1"/>
    <xf numFmtId="0" fontId="0" fillId="0" borderId="22" xfId="0" applyBorder="1"/>
    <xf numFmtId="0" fontId="0" fillId="0" borderId="25" xfId="0" applyBorder="1"/>
    <xf numFmtId="0" fontId="0" fillId="0" borderId="8" xfId="0" quotePrefix="1" applyBorder="1"/>
    <xf numFmtId="0" fontId="11" fillId="0" borderId="0" xfId="0" applyFont="1"/>
    <xf numFmtId="0" fontId="0" fillId="3" borderId="0" xfId="0" applyFill="1"/>
    <xf numFmtId="0" fontId="0" fillId="0" borderId="0" xfId="0" applyProtection="1"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left"/>
      <protection hidden="1"/>
    </xf>
    <xf numFmtId="0" fontId="14" fillId="0" borderId="0" xfId="0" applyFont="1" applyAlignment="1" applyProtection="1">
      <alignment horizontal="right"/>
      <protection hidden="1"/>
    </xf>
    <xf numFmtId="0" fontId="14" fillId="0" borderId="0" xfId="0" applyFont="1" applyAlignment="1" applyProtection="1">
      <alignment horizontal="left"/>
      <protection hidden="1"/>
    </xf>
    <xf numFmtId="0" fontId="15" fillId="0" borderId="0" xfId="0" applyFont="1" applyProtection="1">
      <protection hidden="1"/>
    </xf>
    <xf numFmtId="0" fontId="16" fillId="0" borderId="0" xfId="0" applyFont="1" applyProtection="1">
      <protection hidden="1"/>
    </xf>
    <xf numFmtId="0" fontId="15" fillId="0" borderId="0" xfId="0" applyFont="1" applyAlignment="1" applyProtection="1">
      <alignment horizontal="right"/>
      <protection hidden="1"/>
    </xf>
    <xf numFmtId="0" fontId="15" fillId="0" borderId="0" xfId="0" applyFont="1" applyAlignment="1" applyProtection="1">
      <alignment horizontal="center"/>
      <protection hidden="1"/>
    </xf>
    <xf numFmtId="0" fontId="17" fillId="0" borderId="0" xfId="0" applyFont="1" applyProtection="1">
      <protection hidden="1"/>
    </xf>
    <xf numFmtId="164" fontId="15" fillId="0" borderId="0" xfId="0" applyNumberFormat="1" applyFont="1" applyAlignment="1" applyProtection="1">
      <alignment horizontal="right"/>
      <protection hidden="1"/>
    </xf>
    <xf numFmtId="0" fontId="18" fillId="0" borderId="0" xfId="0" applyFont="1"/>
    <xf numFmtId="0" fontId="19" fillId="0" borderId="0" xfId="0" applyFont="1" applyAlignment="1">
      <alignment horizontal="left" vertical="center"/>
    </xf>
    <xf numFmtId="0" fontId="18" fillId="0" borderId="0" xfId="0" applyFont="1" applyAlignment="1">
      <alignment horizontal="left"/>
    </xf>
    <xf numFmtId="0" fontId="18" fillId="0" borderId="25" xfId="0" applyFont="1" applyBorder="1"/>
    <xf numFmtId="0" fontId="18" fillId="0" borderId="25" xfId="0" applyFont="1" applyBorder="1" applyAlignment="1">
      <alignment vertical="top" wrapText="1"/>
    </xf>
    <xf numFmtId="0" fontId="18" fillId="0" borderId="25" xfId="0" applyFont="1" applyBorder="1" applyAlignment="1">
      <alignment wrapText="1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/>
    </xf>
    <xf numFmtId="16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/>
    <xf numFmtId="49" fontId="19" fillId="0" borderId="0" xfId="0" applyNumberFormat="1" applyFont="1"/>
    <xf numFmtId="1" fontId="19" fillId="0" borderId="0" xfId="0" applyNumberFormat="1" applyFont="1" applyAlignment="1">
      <alignment horizontal="center"/>
    </xf>
    <xf numFmtId="0" fontId="18" fillId="0" borderId="27" xfId="0" applyFont="1" applyBorder="1" applyAlignment="1">
      <alignment horizontal="left" vertical="top"/>
    </xf>
    <xf numFmtId="0" fontId="18" fillId="0" borderId="27" xfId="0" applyFont="1" applyBorder="1" applyAlignment="1">
      <alignment horizontal="center"/>
    </xf>
    <xf numFmtId="0" fontId="18" fillId="0" borderId="27" xfId="0" applyFont="1" applyBorder="1" applyAlignment="1">
      <alignment horizontal="center" wrapText="1"/>
    </xf>
    <xf numFmtId="0" fontId="18" fillId="0" borderId="0" xfId="0" applyFont="1" applyAlignment="1">
      <alignment horizontal="center" vertical="center" wrapText="1"/>
    </xf>
    <xf numFmtId="14" fontId="18" fillId="0" borderId="0" xfId="0" applyNumberFormat="1" applyFont="1" applyAlignment="1">
      <alignment horizontal="center" vertical="center" wrapText="1"/>
    </xf>
    <xf numFmtId="0" fontId="18" fillId="0" borderId="2" xfId="0" applyFont="1" applyBorder="1" applyAlignment="1">
      <alignment horizontal="center"/>
    </xf>
    <xf numFmtId="0" fontId="18" fillId="0" borderId="19" xfId="0" applyFont="1" applyBorder="1"/>
    <xf numFmtId="0" fontId="18" fillId="0" borderId="0" xfId="0" applyFont="1" applyAlignment="1">
      <alignment horizontal="right"/>
    </xf>
    <xf numFmtId="0" fontId="26" fillId="0" borderId="0" xfId="0" applyFont="1"/>
    <xf numFmtId="0" fontId="27" fillId="0" borderId="0" xfId="0" applyFont="1" applyProtection="1">
      <protection hidden="1"/>
    </xf>
    <xf numFmtId="0" fontId="27" fillId="0" borderId="31" xfId="0" applyFont="1" applyBorder="1" applyAlignment="1" applyProtection="1">
      <alignment horizontal="left" vertical="center"/>
      <protection hidden="1"/>
    </xf>
    <xf numFmtId="0" fontId="27" fillId="0" borderId="0" xfId="0" applyFont="1"/>
    <xf numFmtId="0" fontId="27" fillId="0" borderId="32" xfId="0" applyFont="1" applyBorder="1" applyAlignment="1" applyProtection="1">
      <alignment horizontal="left" vertical="center"/>
      <protection hidden="1"/>
    </xf>
    <xf numFmtId="0" fontId="27" fillId="0" borderId="33" xfId="0" applyFont="1" applyBorder="1" applyAlignment="1" applyProtection="1">
      <alignment horizontal="left" vertical="center"/>
      <protection hidden="1"/>
    </xf>
    <xf numFmtId="0" fontId="16" fillId="0" borderId="0" xfId="0" applyFont="1"/>
    <xf numFmtId="0" fontId="18" fillId="0" borderId="0" xfId="0" applyFont="1" applyAlignment="1">
      <alignment horizontal="right" indent="1"/>
    </xf>
    <xf numFmtId="0" fontId="0" fillId="0" borderId="0" xfId="0" applyAlignment="1" applyProtection="1">
      <alignment horizontal="left" wrapText="1"/>
      <protection locked="0"/>
    </xf>
    <xf numFmtId="0" fontId="18" fillId="0" borderId="0" xfId="0" applyFont="1" applyAlignment="1">
      <alignment horizontal="left" indent="1"/>
    </xf>
    <xf numFmtId="0" fontId="29" fillId="0" borderId="0" xfId="0" applyFont="1" applyAlignment="1" applyProtection="1">
      <alignment vertical="center" wrapText="1"/>
      <protection hidden="1"/>
    </xf>
    <xf numFmtId="0" fontId="18" fillId="0" borderId="0" xfId="0" applyFont="1" applyProtection="1">
      <protection hidden="1"/>
    </xf>
    <xf numFmtId="0" fontId="18" fillId="0" borderId="0" xfId="0" applyFont="1" applyAlignment="1" applyProtection="1">
      <alignment wrapText="1"/>
      <protection hidden="1"/>
    </xf>
    <xf numFmtId="0" fontId="18" fillId="0" borderId="0" xfId="0" applyFont="1" applyAlignment="1" applyProtection="1">
      <alignment horizontal="left" vertical="top"/>
      <protection hidden="1"/>
    </xf>
    <xf numFmtId="0" fontId="0" fillId="0" borderId="0" xfId="0" applyAlignment="1" applyProtection="1">
      <alignment horizontal="left" vertical="top"/>
      <protection hidden="1"/>
    </xf>
    <xf numFmtId="0" fontId="18" fillId="0" borderId="0" xfId="0" applyFont="1" applyAlignment="1" applyProtection="1">
      <alignment vertical="center" wrapText="1"/>
      <protection hidden="1"/>
    </xf>
    <xf numFmtId="0" fontId="12" fillId="0" borderId="35" xfId="0" applyFont="1" applyBorder="1" applyAlignment="1" applyProtection="1">
      <alignment horizontal="center"/>
      <protection hidden="1"/>
    </xf>
    <xf numFmtId="0" fontId="12" fillId="0" borderId="36" xfId="0" applyFont="1" applyBorder="1" applyAlignment="1" applyProtection="1">
      <alignment horizontal="center"/>
      <protection hidden="1"/>
    </xf>
    <xf numFmtId="0" fontId="12" fillId="0" borderId="36" xfId="0" quotePrefix="1" applyFont="1" applyBorder="1" applyAlignment="1" applyProtection="1">
      <alignment horizontal="center"/>
      <protection hidden="1"/>
    </xf>
    <xf numFmtId="0" fontId="12" fillId="0" borderId="34" xfId="0" quotePrefix="1" applyFont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/>
      <protection hidden="1"/>
    </xf>
    <xf numFmtId="0" fontId="8" fillId="0" borderId="0" xfId="0" applyFont="1" applyProtection="1">
      <protection hidden="1"/>
    </xf>
    <xf numFmtId="0" fontId="0" fillId="0" borderId="0" xfId="0" applyAlignment="1" applyProtection="1">
      <alignment horizontal="right"/>
      <protection hidden="1"/>
    </xf>
    <xf numFmtId="0" fontId="12" fillId="0" borderId="36" xfId="0" applyFont="1" applyBorder="1" applyAlignment="1" applyProtection="1">
      <alignment horizontal="right"/>
      <protection hidden="1"/>
    </xf>
    <xf numFmtId="0" fontId="28" fillId="0" borderId="0" xfId="0" applyFont="1"/>
    <xf numFmtId="0" fontId="30" fillId="0" borderId="0" xfId="0" applyFont="1"/>
    <xf numFmtId="0" fontId="27" fillId="0" borderId="35" xfId="0" applyFont="1" applyBorder="1" applyAlignment="1" applyProtection="1">
      <alignment horizontal="left" vertical="center"/>
      <protection hidden="1"/>
    </xf>
    <xf numFmtId="0" fontId="27" fillId="0" borderId="36" xfId="0" applyFont="1" applyBorder="1" applyProtection="1">
      <protection hidden="1"/>
    </xf>
    <xf numFmtId="0" fontId="27" fillId="0" borderId="0" xfId="0" applyFont="1" applyAlignment="1" applyProtection="1">
      <alignment horizontal="left" vertical="center"/>
      <protection hidden="1"/>
    </xf>
    <xf numFmtId="0" fontId="27" fillId="0" borderId="0" xfId="0" applyFont="1" applyAlignment="1" applyProtection="1">
      <alignment horizontal="left" indent="1"/>
      <protection hidden="1"/>
    </xf>
    <xf numFmtId="164" fontId="0" fillId="0" borderId="0" xfId="0" applyNumberFormat="1" applyAlignment="1" applyProtection="1">
      <alignment horizontal="right"/>
      <protection hidden="1"/>
    </xf>
    <xf numFmtId="0" fontId="18" fillId="2" borderId="0" xfId="0" applyFont="1" applyFill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Alignment="1">
      <alignment horizontal="justify" vertical="justify" wrapText="1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justify" vertical="justify" wrapText="1"/>
    </xf>
    <xf numFmtId="0" fontId="25" fillId="0" borderId="0" xfId="0" applyFont="1"/>
    <xf numFmtId="0" fontId="33" fillId="0" borderId="0" xfId="0" applyFont="1"/>
    <xf numFmtId="0" fontId="34" fillId="0" borderId="0" xfId="0" applyFont="1"/>
    <xf numFmtId="0" fontId="25" fillId="0" borderId="27" xfId="0" applyFont="1" applyBorder="1"/>
    <xf numFmtId="0" fontId="24" fillId="0" borderId="27" xfId="0" applyFont="1" applyBorder="1"/>
    <xf numFmtId="0" fontId="24" fillId="0" borderId="0" xfId="0" applyFont="1" applyAlignment="1">
      <alignment horizontal="center"/>
    </xf>
    <xf numFmtId="0" fontId="27" fillId="0" borderId="0" xfId="0" applyFont="1" applyAlignment="1">
      <alignment horizontal="right"/>
    </xf>
    <xf numFmtId="0" fontId="35" fillId="0" borderId="0" xfId="0" applyFont="1" applyAlignment="1">
      <alignment horizontal="right"/>
    </xf>
    <xf numFmtId="0" fontId="18" fillId="0" borderId="35" xfId="0" applyFont="1" applyBorder="1" applyAlignment="1">
      <alignment horizontal="center" wrapText="1"/>
    </xf>
    <xf numFmtId="0" fontId="0" fillId="0" borderId="0" xfId="0" applyAlignment="1">
      <alignment horizontal="right" vertical="top"/>
    </xf>
    <xf numFmtId="0" fontId="36" fillId="0" borderId="0" xfId="0" applyFont="1" applyAlignment="1" applyProtection="1">
      <alignment wrapText="1"/>
      <protection hidden="1"/>
    </xf>
    <xf numFmtId="0" fontId="7" fillId="0" borderId="36" xfId="0" applyFont="1" applyBorder="1" applyAlignment="1">
      <alignment horizontal="left" vertical="top" wrapText="1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right" indent="1"/>
    </xf>
    <xf numFmtId="0" fontId="22" fillId="0" borderId="0" xfId="0" applyFont="1" applyAlignment="1">
      <alignment horizontal="right" vertical="center" indent="1"/>
    </xf>
    <xf numFmtId="0" fontId="24" fillId="0" borderId="0" xfId="0" applyFont="1" applyAlignment="1">
      <alignment horizontal="right" indent="2"/>
    </xf>
    <xf numFmtId="0" fontId="18" fillId="0" borderId="0" xfId="0" applyFont="1" applyAlignment="1">
      <alignment horizontal="right" indent="2"/>
    </xf>
    <xf numFmtId="0" fontId="25" fillId="0" borderId="0" xfId="0" applyFont="1" applyAlignment="1" applyProtection="1">
      <alignment vertical="center" wrapText="1"/>
      <protection hidden="1"/>
    </xf>
    <xf numFmtId="0" fontId="23" fillId="0" borderId="0" xfId="0" applyFont="1" applyAlignment="1">
      <alignment vertical="center" wrapText="1"/>
    </xf>
    <xf numFmtId="0" fontId="18" fillId="0" borderId="0" xfId="0" applyFont="1" applyAlignment="1" applyProtection="1">
      <alignment horizontal="left" indent="1"/>
      <protection hidden="1"/>
    </xf>
    <xf numFmtId="0" fontId="0" fillId="0" borderId="0" xfId="0" quotePrefix="1" applyAlignment="1" applyProtection="1">
      <alignment horizontal="right"/>
      <protection hidden="1"/>
    </xf>
    <xf numFmtId="0" fontId="43" fillId="0" borderId="0" xfId="0" applyFont="1"/>
    <xf numFmtId="14" fontId="24" fillId="0" borderId="0" xfId="0" applyNumberFormat="1" applyFont="1" applyAlignment="1" applyProtection="1">
      <alignment horizontal="center" vertical="center" shrinkToFit="1"/>
      <protection locked="0"/>
    </xf>
    <xf numFmtId="0" fontId="46" fillId="0" borderId="36" xfId="2" applyFont="1" applyFill="1" applyBorder="1" applyAlignment="1"/>
    <xf numFmtId="0" fontId="30" fillId="0" borderId="36" xfId="0" applyFont="1" applyBorder="1"/>
    <xf numFmtId="0" fontId="45" fillId="0" borderId="0" xfId="0" applyFont="1"/>
    <xf numFmtId="14" fontId="30" fillId="0" borderId="36" xfId="0" applyNumberFormat="1" applyFont="1" applyBorder="1" applyAlignment="1">
      <alignment horizontal="left"/>
    </xf>
    <xf numFmtId="0" fontId="30" fillId="0" borderId="48" xfId="0" applyFont="1" applyBorder="1" applyAlignment="1">
      <alignment horizontal="left" vertical="center"/>
    </xf>
    <xf numFmtId="0" fontId="30" fillId="0" borderId="40" xfId="0" applyFont="1" applyBorder="1" applyAlignment="1">
      <alignment horizontal="right" vertical="center"/>
    </xf>
    <xf numFmtId="0" fontId="30" fillId="0" borderId="44" xfId="0" applyFont="1" applyBorder="1" applyAlignment="1">
      <alignment horizontal="right" vertical="center"/>
    </xf>
    <xf numFmtId="0" fontId="30" fillId="0" borderId="47" xfId="0" applyFont="1" applyBorder="1" applyAlignment="1">
      <alignment horizontal="left" vertical="center"/>
    </xf>
    <xf numFmtId="0" fontId="30" fillId="0" borderId="42" xfId="0" applyFont="1" applyBorder="1" applyAlignment="1">
      <alignment horizontal="left" vertical="center"/>
    </xf>
    <xf numFmtId="0" fontId="30" fillId="0" borderId="43" xfId="0" applyFont="1" applyBorder="1" applyAlignment="1">
      <alignment horizontal="left" vertical="center"/>
    </xf>
    <xf numFmtId="0" fontId="45" fillId="0" borderId="27" xfId="0" applyFont="1" applyBorder="1"/>
    <xf numFmtId="0" fontId="30" fillId="0" borderId="27" xfId="0" applyFont="1" applyBorder="1"/>
    <xf numFmtId="0" fontId="30" fillId="0" borderId="39" xfId="0" applyFont="1" applyBorder="1" applyAlignment="1">
      <alignment horizontal="right" vertical="center"/>
    </xf>
    <xf numFmtId="0" fontId="15" fillId="0" borderId="0" xfId="0" applyFont="1" applyAlignment="1" applyProtection="1">
      <alignment horizontal="left"/>
      <protection hidden="1"/>
    </xf>
    <xf numFmtId="0" fontId="0" fillId="0" borderId="32" xfId="0" quotePrefix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32" xfId="0" applyBorder="1" applyProtection="1">
      <protection locked="0"/>
    </xf>
    <xf numFmtId="0" fontId="27" fillId="0" borderId="30" xfId="0" applyFont="1" applyBorder="1" applyAlignment="1" applyProtection="1">
      <alignment horizontal="right"/>
      <protection hidden="1"/>
    </xf>
    <xf numFmtId="164" fontId="27" fillId="0" borderId="27" xfId="0" applyNumberFormat="1" applyFont="1" applyBorder="1" applyProtection="1">
      <protection hidden="1"/>
    </xf>
    <xf numFmtId="0" fontId="43" fillId="3" borderId="23" xfId="0" applyFont="1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43" fillId="3" borderId="15" xfId="0" applyFont="1" applyFill="1" applyBorder="1"/>
    <xf numFmtId="0" fontId="0" fillId="0" borderId="0" xfId="0" applyAlignment="1">
      <alignment horizontal="left" indent="1"/>
    </xf>
    <xf numFmtId="0" fontId="0" fillId="0" borderId="0" xfId="0" applyAlignment="1" applyProtection="1">
      <alignment vertical="center"/>
      <protection hidden="1"/>
    </xf>
    <xf numFmtId="16" fontId="0" fillId="0" borderId="0" xfId="0" applyNumberFormat="1" applyProtection="1">
      <protection hidden="1"/>
    </xf>
    <xf numFmtId="16" fontId="0" fillId="0" borderId="0" xfId="0" quotePrefix="1" applyNumberFormat="1" applyAlignment="1" applyProtection="1">
      <alignment horizontal="right"/>
      <protection hidden="1"/>
    </xf>
    <xf numFmtId="0" fontId="38" fillId="0" borderId="0" xfId="0" applyFont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3" xfId="0" applyBorder="1"/>
    <xf numFmtId="0" fontId="51" fillId="2" borderId="0" xfId="0" applyFont="1" applyFill="1" applyProtection="1">
      <protection hidden="1"/>
    </xf>
    <xf numFmtId="0" fontId="0" fillId="2" borderId="0" xfId="0" applyFill="1" applyProtection="1">
      <protection hidden="1"/>
    </xf>
    <xf numFmtId="0" fontId="51" fillId="0" borderId="0" xfId="0" applyFont="1" applyAlignment="1" applyProtection="1">
      <alignment vertical="center"/>
      <protection hidden="1"/>
    </xf>
    <xf numFmtId="0" fontId="51" fillId="0" borderId="0" xfId="0" applyFont="1" applyProtection="1">
      <protection hidden="1"/>
    </xf>
    <xf numFmtId="0" fontId="51" fillId="0" borderId="0" xfId="0" applyFont="1" applyAlignment="1" applyProtection="1">
      <alignment horizontal="left" vertical="center"/>
      <protection hidden="1"/>
    </xf>
    <xf numFmtId="0" fontId="51" fillId="0" borderId="1" xfId="0" applyFont="1" applyBorder="1" applyAlignment="1">
      <alignment horizontal="left" vertical="center"/>
    </xf>
    <xf numFmtId="49" fontId="54" fillId="0" borderId="23" xfId="0" applyNumberFormat="1" applyFont="1" applyBorder="1" applyAlignment="1" applyProtection="1">
      <alignment horizontal="left" vertical="center"/>
      <protection hidden="1"/>
    </xf>
    <xf numFmtId="49" fontId="54" fillId="0" borderId="0" xfId="0" applyNumberFormat="1" applyFont="1" applyAlignment="1" applyProtection="1">
      <alignment horizontal="right" vertical="center"/>
      <protection hidden="1"/>
    </xf>
    <xf numFmtId="0" fontId="51" fillId="2" borderId="21" xfId="0" applyFont="1" applyFill="1" applyBorder="1" applyAlignment="1" applyProtection="1">
      <alignment horizontal="center"/>
      <protection hidden="1"/>
    </xf>
    <xf numFmtId="0" fontId="51" fillId="0" borderId="26" xfId="0" applyFont="1" applyBorder="1" applyAlignment="1" applyProtection="1">
      <alignment horizontal="left" vertical="center"/>
      <protection hidden="1"/>
    </xf>
    <xf numFmtId="0" fontId="51" fillId="0" borderId="1" xfId="0" applyFont="1" applyBorder="1" applyAlignment="1" applyProtection="1">
      <alignment horizontal="left" vertical="center"/>
      <protection hidden="1"/>
    </xf>
    <xf numFmtId="0" fontId="51" fillId="0" borderId="23" xfId="0" applyFont="1" applyBorder="1" applyAlignment="1" applyProtection="1">
      <alignment horizontal="left" vertical="center"/>
      <protection hidden="1"/>
    </xf>
    <xf numFmtId="0" fontId="51" fillId="0" borderId="0" xfId="0" applyFont="1" applyAlignment="1" applyProtection="1">
      <alignment horizontal="left"/>
      <protection hidden="1"/>
    </xf>
    <xf numFmtId="0" fontId="51" fillId="2" borderId="0" xfId="0" applyFont="1" applyFill="1" applyAlignment="1" applyProtection="1">
      <alignment horizontal="right"/>
      <protection hidden="1"/>
    </xf>
    <xf numFmtId="0" fontId="0" fillId="0" borderId="24" xfId="0" applyBorder="1"/>
    <xf numFmtId="0" fontId="56" fillId="3" borderId="23" xfId="0" applyFont="1" applyFill="1" applyBorder="1"/>
    <xf numFmtId="0" fontId="0" fillId="0" borderId="2" xfId="0" quotePrefix="1" applyBorder="1"/>
    <xf numFmtId="0" fontId="43" fillId="3" borderId="4" xfId="0" applyFont="1" applyFill="1" applyBorder="1"/>
    <xf numFmtId="0" fontId="0" fillId="3" borderId="5" xfId="0" applyFill="1" applyBorder="1"/>
    <xf numFmtId="0" fontId="0" fillId="3" borderId="6" xfId="0" applyFill="1" applyBorder="1"/>
    <xf numFmtId="0" fontId="43" fillId="3" borderId="7" xfId="0" applyFont="1" applyFill="1" applyBorder="1"/>
    <xf numFmtId="0" fontId="43" fillId="3" borderId="9" xfId="0" applyFont="1" applyFill="1" applyBorder="1"/>
    <xf numFmtId="0" fontId="57" fillId="0" borderId="2" xfId="0" applyFont="1" applyBorder="1"/>
    <xf numFmtId="164" fontId="27" fillId="0" borderId="0" xfId="0" applyNumberFormat="1" applyFont="1" applyProtection="1">
      <protection hidden="1"/>
    </xf>
    <xf numFmtId="0" fontId="27" fillId="0" borderId="0" xfId="0" applyFont="1" applyProtection="1">
      <protection locked="0" hidden="1"/>
    </xf>
    <xf numFmtId="0" fontId="33" fillId="0" borderId="0" xfId="0" applyFont="1" applyAlignment="1" applyProtection="1">
      <alignment horizontal="center" vertical="center"/>
      <protection hidden="1"/>
    </xf>
    <xf numFmtId="0" fontId="0" fillId="7" borderId="0" xfId="0" applyFill="1"/>
    <xf numFmtId="0" fontId="43" fillId="8" borderId="0" xfId="0" applyFont="1" applyFill="1"/>
    <xf numFmtId="0" fontId="61" fillId="0" borderId="0" xfId="0" applyFont="1"/>
    <xf numFmtId="0" fontId="62" fillId="0" borderId="0" xfId="0" applyFont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63" fillId="0" borderId="0" xfId="0" applyFont="1" applyAlignment="1">
      <alignment horizontal="justify" vertical="center"/>
    </xf>
    <xf numFmtId="0" fontId="61" fillId="0" borderId="0" xfId="0" applyFont="1" applyAlignment="1">
      <alignment horizontal="justify" vertical="center"/>
    </xf>
    <xf numFmtId="0" fontId="61" fillId="0" borderId="0" xfId="0" applyFont="1" applyAlignment="1">
      <alignment vertical="center"/>
    </xf>
    <xf numFmtId="0" fontId="63" fillId="0" borderId="0" xfId="0" applyFont="1" applyAlignment="1">
      <alignment vertical="center"/>
    </xf>
    <xf numFmtId="0" fontId="66" fillId="0" borderId="0" xfId="0" applyFont="1" applyAlignment="1">
      <alignment vertical="center"/>
    </xf>
    <xf numFmtId="0" fontId="67" fillId="0" borderId="0" xfId="0" applyFont="1" applyAlignment="1">
      <alignment horizontal="justify" vertical="center"/>
    </xf>
    <xf numFmtId="0" fontId="0" fillId="0" borderId="0" xfId="0" applyAlignment="1">
      <alignment horizontal="justify" vertical="justify"/>
    </xf>
    <xf numFmtId="1" fontId="68" fillId="0" borderId="39" xfId="7" applyNumberFormat="1" applyFont="1" applyBorder="1" applyAlignment="1">
      <alignment horizontal="right" vertical="center"/>
    </xf>
    <xf numFmtId="0" fontId="68" fillId="0" borderId="0" xfId="0" applyFont="1"/>
    <xf numFmtId="0" fontId="68" fillId="0" borderId="40" xfId="0" applyFont="1" applyBorder="1" applyAlignment="1">
      <alignment horizontal="right" vertical="center"/>
    </xf>
    <xf numFmtId="1" fontId="68" fillId="0" borderId="40" xfId="0" applyNumberFormat="1" applyFont="1" applyBorder="1" applyAlignment="1">
      <alignment horizontal="right" vertical="center"/>
    </xf>
    <xf numFmtId="0" fontId="68" fillId="0" borderId="40" xfId="0" applyFont="1" applyBorder="1" applyAlignment="1" applyProtection="1">
      <alignment horizontal="right" vertical="center"/>
      <protection locked="0"/>
    </xf>
    <xf numFmtId="0" fontId="68" fillId="0" borderId="41" xfId="0" applyFont="1" applyBorder="1" applyAlignment="1" applyProtection="1">
      <alignment horizontal="right" vertical="center"/>
      <protection locked="0"/>
    </xf>
    <xf numFmtId="0" fontId="68" fillId="0" borderId="0" xfId="0" applyFont="1" applyAlignment="1">
      <alignment horizontal="center" vertical="top"/>
    </xf>
    <xf numFmtId="0" fontId="68" fillId="0" borderId="40" xfId="0" applyFont="1" applyBorder="1" applyAlignment="1" applyProtection="1">
      <alignment horizontal="right" vertical="center"/>
      <protection hidden="1"/>
    </xf>
    <xf numFmtId="0" fontId="68" fillId="0" borderId="44" xfId="0" applyFont="1" applyBorder="1" applyAlignment="1">
      <alignment horizontal="right" vertical="center"/>
    </xf>
    <xf numFmtId="0" fontId="68" fillId="0" borderId="45" xfId="0" applyFont="1" applyBorder="1" applyAlignment="1">
      <alignment vertical="center"/>
    </xf>
    <xf numFmtId="0" fontId="68" fillId="0" borderId="46" xfId="0" applyFont="1" applyBorder="1" applyAlignment="1">
      <alignment vertical="center"/>
    </xf>
    <xf numFmtId="49" fontId="21" fillId="5" borderId="0" xfId="0" applyNumberFormat="1" applyFont="1" applyFill="1" applyAlignment="1" applyProtection="1">
      <alignment horizontal="left" indent="1"/>
      <protection locked="0"/>
    </xf>
    <xf numFmtId="0" fontId="43" fillId="3" borderId="24" xfId="0" applyFont="1" applyFill="1" applyBorder="1"/>
    <xf numFmtId="0" fontId="30" fillId="0" borderId="40" xfId="0" applyFont="1" applyBorder="1" applyAlignment="1">
      <alignment horizontal="left" vertical="center" indent="1"/>
    </xf>
    <xf numFmtId="0" fontId="30" fillId="0" borderId="42" xfId="0" applyFont="1" applyBorder="1" applyAlignment="1">
      <alignment horizontal="left" vertical="center" indent="1"/>
    </xf>
    <xf numFmtId="0" fontId="24" fillId="0" borderId="30" xfId="0" applyFont="1" applyBorder="1"/>
    <xf numFmtId="0" fontId="24" fillId="0" borderId="30" xfId="0" applyFont="1" applyBorder="1" applyAlignment="1">
      <alignment horizontal="right"/>
    </xf>
    <xf numFmtId="0" fontId="24" fillId="0" borderId="30" xfId="0" applyFont="1" applyBorder="1" applyAlignment="1">
      <alignment horizontal="left" vertical="center"/>
    </xf>
    <xf numFmtId="164" fontId="24" fillId="0" borderId="39" xfId="0" applyNumberFormat="1" applyFont="1" applyBorder="1" applyAlignment="1">
      <alignment horizontal="right" vertical="center"/>
    </xf>
    <xf numFmtId="0" fontId="24" fillId="6" borderId="44" xfId="0" applyFont="1" applyFill="1" applyBorder="1" applyAlignment="1">
      <alignment horizontal="right" vertical="center"/>
    </xf>
    <xf numFmtId="164" fontId="27" fillId="0" borderId="0" xfId="0" applyNumberFormat="1" applyFont="1" applyProtection="1">
      <protection locked="0" hidden="1"/>
    </xf>
    <xf numFmtId="0" fontId="37" fillId="0" borderId="0" xfId="0" applyFont="1" applyAlignment="1">
      <alignment horizontal="right"/>
    </xf>
    <xf numFmtId="0" fontId="18" fillId="0" borderId="18" xfId="0" applyFont="1" applyBorder="1" applyAlignment="1">
      <alignment horizontal="left" vertical="top"/>
    </xf>
    <xf numFmtId="0" fontId="9" fillId="0" borderId="0" xfId="2"/>
    <xf numFmtId="0" fontId="0" fillId="0" borderId="32" xfId="0" quotePrefix="1" applyBorder="1" applyProtection="1">
      <protection hidden="1"/>
    </xf>
    <xf numFmtId="0" fontId="7" fillId="0" borderId="36" xfId="0" applyFont="1" applyBorder="1" applyAlignment="1" applyProtection="1">
      <alignment horizontal="left" vertical="top"/>
      <protection hidden="1"/>
    </xf>
    <xf numFmtId="0" fontId="7" fillId="0" borderId="36" xfId="0" applyFont="1" applyBorder="1" applyAlignment="1" applyProtection="1">
      <alignment horizontal="left" vertical="top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4" fontId="18" fillId="0" borderId="0" xfId="0" applyNumberFormat="1" applyFont="1" applyAlignment="1" applyProtection="1">
      <alignment horizontal="center" vertical="center" wrapText="1"/>
      <protection hidden="1"/>
    </xf>
    <xf numFmtId="0" fontId="18" fillId="0" borderId="36" xfId="0" applyFont="1" applyBorder="1" applyAlignment="1" applyProtection="1">
      <alignment horizontal="left" vertical="top" wrapText="1"/>
      <protection hidden="1"/>
    </xf>
    <xf numFmtId="0" fontId="18" fillId="2" borderId="36" xfId="0" applyFont="1" applyFill="1" applyBorder="1" applyAlignment="1" applyProtection="1">
      <alignment horizontal="left" vertical="top"/>
      <protection hidden="1"/>
    </xf>
    <xf numFmtId="14" fontId="18" fillId="2" borderId="36" xfId="0" applyNumberFormat="1" applyFont="1" applyFill="1" applyBorder="1" applyAlignment="1" applyProtection="1">
      <alignment horizontal="left" vertical="top"/>
      <protection hidden="1"/>
    </xf>
    <xf numFmtId="0" fontId="7" fillId="0" borderId="0" xfId="0" applyFont="1" applyAlignment="1" applyProtection="1">
      <alignment horizontal="left" vertical="top"/>
      <protection hidden="1"/>
    </xf>
    <xf numFmtId="0" fontId="7" fillId="2" borderId="0" xfId="0" applyFont="1" applyFill="1" applyAlignment="1" applyProtection="1">
      <alignment horizontal="left" vertical="top"/>
      <protection hidden="1"/>
    </xf>
    <xf numFmtId="0" fontId="7" fillId="0" borderId="0" xfId="0" applyFont="1" applyAlignment="1" applyProtection="1">
      <alignment horizontal="left" vertical="top" wrapText="1"/>
      <protection hidden="1"/>
    </xf>
    <xf numFmtId="0" fontId="18" fillId="0" borderId="0" xfId="0" applyFont="1" applyAlignment="1" applyProtection="1">
      <alignment horizontal="left" vertical="top" wrapText="1"/>
      <protection hidden="1"/>
    </xf>
    <xf numFmtId="14" fontId="18" fillId="0" borderId="0" xfId="0" applyNumberFormat="1" applyFont="1" applyAlignment="1" applyProtection="1">
      <alignment horizontal="left" vertical="top"/>
      <protection hidden="1"/>
    </xf>
    <xf numFmtId="0" fontId="7" fillId="0" borderId="27" xfId="0" applyFont="1" applyBorder="1" applyAlignment="1" applyProtection="1">
      <alignment horizontal="center" vertical="center" wrapText="1"/>
      <protection hidden="1"/>
    </xf>
    <xf numFmtId="0" fontId="7" fillId="0" borderId="27" xfId="0" applyFont="1" applyBorder="1" applyAlignment="1" applyProtection="1">
      <alignment horizontal="left" vertical="center" wrapText="1"/>
      <protection hidden="1"/>
    </xf>
    <xf numFmtId="0" fontId="7" fillId="2" borderId="36" xfId="0" applyFont="1" applyFill="1" applyBorder="1" applyAlignment="1" applyProtection="1">
      <alignment horizontal="left" vertical="top" wrapText="1"/>
      <protection hidden="1"/>
    </xf>
    <xf numFmtId="0" fontId="18" fillId="2" borderId="0" xfId="0" applyFont="1" applyFill="1" applyAlignment="1" applyProtection="1">
      <alignment horizontal="left" vertical="top"/>
      <protection hidden="1"/>
    </xf>
    <xf numFmtId="14" fontId="18" fillId="2" borderId="0" xfId="0" applyNumberFormat="1" applyFont="1" applyFill="1" applyAlignment="1" applyProtection="1">
      <alignment horizontal="left" vertical="top"/>
      <protection hidden="1"/>
    </xf>
    <xf numFmtId="0" fontId="18" fillId="0" borderId="30" xfId="0" applyFont="1" applyBorder="1" applyAlignment="1" applyProtection="1">
      <alignment horizontal="left" vertical="top" wrapText="1"/>
      <protection hidden="1"/>
    </xf>
    <xf numFmtId="0" fontId="18" fillId="2" borderId="30" xfId="0" applyFont="1" applyFill="1" applyBorder="1" applyAlignment="1" applyProtection="1">
      <alignment horizontal="left" vertical="top"/>
      <protection hidden="1"/>
    </xf>
    <xf numFmtId="14" fontId="18" fillId="2" borderId="30" xfId="0" applyNumberFormat="1" applyFont="1" applyFill="1" applyBorder="1" applyAlignment="1" applyProtection="1">
      <alignment horizontal="left" vertical="top"/>
      <protection hidden="1"/>
    </xf>
    <xf numFmtId="0" fontId="7" fillId="0" borderId="30" xfId="0" applyFont="1" applyBorder="1" applyAlignment="1" applyProtection="1">
      <alignment horizontal="left" vertical="top"/>
      <protection hidden="1"/>
    </xf>
    <xf numFmtId="0" fontId="7" fillId="0" borderId="30" xfId="0" applyFont="1" applyBorder="1" applyAlignment="1" applyProtection="1">
      <alignment horizontal="left" vertical="top" wrapText="1"/>
      <protection hidden="1"/>
    </xf>
    <xf numFmtId="0" fontId="0" fillId="7" borderId="2" xfId="0" applyFill="1" applyBorder="1"/>
    <xf numFmtId="1" fontId="0" fillId="0" borderId="0" xfId="0" applyNumberFormat="1"/>
    <xf numFmtId="1" fontId="0" fillId="7" borderId="0" xfId="0" applyNumberFormat="1" applyFill="1"/>
    <xf numFmtId="0" fontId="0" fillId="0" borderId="0" xfId="0" applyAlignment="1">
      <alignment horizontal="right"/>
    </xf>
    <xf numFmtId="0" fontId="11" fillId="7" borderId="0" xfId="0" applyFont="1" applyFill="1"/>
    <xf numFmtId="0" fontId="11" fillId="0" borderId="1" xfId="0" applyFont="1" applyBorder="1"/>
    <xf numFmtId="0" fontId="0" fillId="7" borderId="25" xfId="0" applyFill="1" applyBorder="1"/>
    <xf numFmtId="0" fontId="11" fillId="0" borderId="23" xfId="0" applyFont="1" applyBorder="1"/>
    <xf numFmtId="0" fontId="58" fillId="0" borderId="23" xfId="0" applyFont="1" applyBorder="1"/>
    <xf numFmtId="0" fontId="28" fillId="0" borderId="1" xfId="0" applyFont="1" applyBorder="1"/>
    <xf numFmtId="0" fontId="11" fillId="7" borderId="1" xfId="0" applyFont="1" applyFill="1" applyBorder="1"/>
    <xf numFmtId="0" fontId="0" fillId="7" borderId="1" xfId="0" applyFill="1" applyBorder="1"/>
    <xf numFmtId="1" fontId="0" fillId="0" borderId="0" xfId="0" applyNumberFormat="1" applyAlignment="1">
      <alignment horizontal="right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4" fillId="6" borderId="0" xfId="0" applyFont="1" applyFill="1" applyAlignment="1">
      <alignment horizontal="right" vertical="center"/>
    </xf>
    <xf numFmtId="0" fontId="57" fillId="7" borderId="0" xfId="0" applyFont="1" applyFill="1"/>
    <xf numFmtId="0" fontId="57" fillId="0" borderId="0" xfId="0" applyFont="1"/>
    <xf numFmtId="0" fontId="58" fillId="0" borderId="0" xfId="0" applyFont="1"/>
    <xf numFmtId="0" fontId="57" fillId="4" borderId="0" xfId="0" applyFont="1" applyFill="1"/>
    <xf numFmtId="0" fontId="43" fillId="3" borderId="2" xfId="0" applyFont="1" applyFill="1" applyBorder="1"/>
    <xf numFmtId="0" fontId="73" fillId="0" borderId="0" xfId="0" applyFont="1"/>
    <xf numFmtId="0" fontId="73" fillId="7" borderId="0" xfId="0" applyFont="1" applyFill="1"/>
    <xf numFmtId="0" fontId="0" fillId="9" borderId="0" xfId="0" applyFill="1"/>
    <xf numFmtId="0" fontId="28" fillId="0" borderId="0" xfId="0" applyFont="1" applyAlignment="1">
      <alignment horizontal="right"/>
    </xf>
    <xf numFmtId="0" fontId="28" fillId="0" borderId="0" xfId="0" applyFont="1" applyProtection="1">
      <protection hidden="1"/>
    </xf>
    <xf numFmtId="0" fontId="43" fillId="8" borderId="0" xfId="0" applyFont="1" applyFill="1" applyProtection="1">
      <protection hidden="1"/>
    </xf>
    <xf numFmtId="0" fontId="43" fillId="0" borderId="0" xfId="0" applyFo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28" fillId="0" borderId="0" xfId="0" applyFont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/>
      <protection hidden="1"/>
    </xf>
    <xf numFmtId="0" fontId="11" fillId="0" borderId="0" xfId="0" applyFont="1" applyProtection="1">
      <protection hidden="1"/>
    </xf>
    <xf numFmtId="0" fontId="0" fillId="5" borderId="0" xfId="0" applyFill="1" applyAlignment="1" applyProtection="1">
      <alignment horizontal="left" indent="1"/>
      <protection locked="0"/>
    </xf>
    <xf numFmtId="49" fontId="0" fillId="5" borderId="0" xfId="0" applyNumberFormat="1" applyFill="1" applyAlignment="1" applyProtection="1">
      <alignment horizontal="left" indent="1"/>
      <protection locked="0"/>
    </xf>
    <xf numFmtId="0" fontId="9" fillId="5" borderId="0" xfId="2" applyFill="1" applyAlignment="1" applyProtection="1">
      <alignment horizontal="left" indent="1"/>
      <protection locked="0"/>
    </xf>
    <xf numFmtId="14" fontId="0" fillId="5" borderId="0" xfId="0" applyNumberFormat="1" applyFill="1" applyAlignment="1" applyProtection="1">
      <alignment horizontal="left" indent="1"/>
      <protection locked="0"/>
    </xf>
    <xf numFmtId="1" fontId="0" fillId="5" borderId="0" xfId="0" applyNumberFormat="1" applyFill="1" applyAlignment="1" applyProtection="1">
      <alignment horizontal="left" indent="1"/>
      <protection locked="0"/>
    </xf>
    <xf numFmtId="0" fontId="18" fillId="0" borderId="52" xfId="0" applyFont="1" applyBorder="1" applyAlignment="1" applyProtection="1">
      <alignment horizontal="center" wrapText="1"/>
      <protection locked="0"/>
    </xf>
    <xf numFmtId="1" fontId="18" fillId="0" borderId="38" xfId="0" applyNumberFormat="1" applyFont="1" applyBorder="1" applyAlignment="1" applyProtection="1">
      <alignment horizontal="center"/>
      <protection locked="0"/>
    </xf>
    <xf numFmtId="0" fontId="18" fillId="0" borderId="51" xfId="0" applyFont="1" applyBorder="1" applyAlignment="1" applyProtection="1">
      <alignment horizontal="center" wrapText="1"/>
      <protection locked="0"/>
    </xf>
    <xf numFmtId="0" fontId="18" fillId="0" borderId="28" xfId="0" applyFont="1" applyBorder="1" applyAlignment="1" applyProtection="1">
      <alignment horizontal="center"/>
      <protection locked="0"/>
    </xf>
    <xf numFmtId="0" fontId="18" fillId="0" borderId="49" xfId="0" applyFont="1" applyBorder="1" applyAlignment="1" applyProtection="1">
      <alignment horizontal="center" wrapText="1"/>
      <protection locked="0"/>
    </xf>
    <xf numFmtId="0" fontId="18" fillId="0" borderId="29" xfId="0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5" borderId="0" xfId="0" applyFill="1" applyAlignment="1" applyProtection="1">
      <alignment horizontal="left"/>
      <protection locked="0"/>
    </xf>
    <xf numFmtId="14" fontId="0" fillId="5" borderId="0" xfId="0" applyNumberFormat="1" applyFill="1" applyAlignment="1" applyProtection="1">
      <alignment horizontal="left" vertical="top"/>
      <protection locked="0"/>
    </xf>
    <xf numFmtId="0" fontId="43" fillId="0" borderId="0" xfId="0" applyFont="1" applyAlignment="1">
      <alignment horizontal="left"/>
    </xf>
    <xf numFmtId="0" fontId="0" fillId="5" borderId="0" xfId="0" applyFill="1" applyAlignment="1" applyProtection="1">
      <alignment horizontal="center"/>
      <protection locked="0"/>
    </xf>
    <xf numFmtId="0" fontId="30" fillId="0" borderId="52" xfId="0" applyFont="1" applyBorder="1" applyAlignment="1">
      <alignment vertical="center"/>
    </xf>
    <xf numFmtId="0" fontId="30" fillId="0" borderId="58" xfId="0" applyFont="1" applyBorder="1" applyAlignment="1">
      <alignment vertical="center"/>
    </xf>
    <xf numFmtId="0" fontId="30" fillId="0" borderId="51" xfId="0" applyFont="1" applyBorder="1" applyAlignment="1">
      <alignment vertical="center"/>
    </xf>
    <xf numFmtId="0" fontId="30" fillId="0" borderId="57" xfId="0" applyFont="1" applyBorder="1" applyAlignment="1">
      <alignment vertical="center"/>
    </xf>
    <xf numFmtId="0" fontId="68" fillId="0" borderId="42" xfId="0" applyFont="1" applyBorder="1" applyAlignment="1">
      <alignment vertical="center"/>
    </xf>
    <xf numFmtId="0" fontId="68" fillId="0" borderId="43" xfId="0" applyFont="1" applyBorder="1" applyAlignment="1">
      <alignment vertical="center"/>
    </xf>
    <xf numFmtId="0" fontId="30" fillId="0" borderId="51" xfId="0" applyFont="1" applyBorder="1" applyAlignment="1">
      <alignment vertical="center" wrapText="1"/>
    </xf>
    <xf numFmtId="0" fontId="68" fillId="0" borderId="49" xfId="0" applyFont="1" applyBorder="1" applyAlignment="1">
      <alignment horizontal="left" vertical="center"/>
    </xf>
    <xf numFmtId="0" fontId="68" fillId="0" borderId="50" xfId="0" applyFont="1" applyBorder="1" applyAlignment="1">
      <alignment horizontal="left" vertical="center"/>
    </xf>
    <xf numFmtId="0" fontId="30" fillId="0" borderId="47" xfId="0" applyFont="1" applyBorder="1" applyAlignment="1">
      <alignment vertical="center"/>
    </xf>
    <xf numFmtId="0" fontId="30" fillId="0" borderId="48" xfId="0" applyFont="1" applyBorder="1" applyAlignment="1">
      <alignment vertical="center"/>
    </xf>
    <xf numFmtId="0" fontId="68" fillId="0" borderId="51" xfId="0" applyFont="1" applyBorder="1" applyAlignment="1">
      <alignment horizontal="left" vertical="center"/>
    </xf>
    <xf numFmtId="0" fontId="68" fillId="0" borderId="57" xfId="0" applyFont="1" applyBorder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30" fillId="0" borderId="39" xfId="0" applyFont="1" applyBorder="1" applyAlignment="1" applyProtection="1">
      <alignment horizontal="left" indent="1"/>
      <protection locked="0"/>
    </xf>
    <xf numFmtId="0" fontId="30" fillId="0" borderId="47" xfId="0" applyFont="1" applyBorder="1" applyAlignment="1" applyProtection="1">
      <alignment horizontal="left" indent="1"/>
      <protection locked="0"/>
    </xf>
    <xf numFmtId="0" fontId="30" fillId="0" borderId="48" xfId="0" applyFont="1" applyBorder="1" applyAlignment="1" applyProtection="1">
      <alignment horizontal="left" indent="1"/>
      <protection locked="0"/>
    </xf>
    <xf numFmtId="0" fontId="30" fillId="0" borderId="55" xfId="0" applyFont="1" applyBorder="1"/>
    <xf numFmtId="0" fontId="30" fillId="0" borderId="56" xfId="0" applyFont="1" applyBorder="1"/>
    <xf numFmtId="0" fontId="30" fillId="0" borderId="59" xfId="0" applyFont="1" applyBorder="1"/>
    <xf numFmtId="0" fontId="30" fillId="0" borderId="60" xfId="0" applyFont="1" applyBorder="1"/>
    <xf numFmtId="0" fontId="38" fillId="0" borderId="0" xfId="0" applyFont="1" applyAlignment="1">
      <alignment horizontal="center"/>
    </xf>
    <xf numFmtId="0" fontId="46" fillId="0" borderId="44" xfId="2" applyFont="1" applyFill="1" applyBorder="1" applyAlignment="1" applyProtection="1">
      <alignment horizontal="left" indent="1"/>
      <protection locked="0"/>
    </xf>
    <xf numFmtId="0" fontId="46" fillId="0" borderId="45" xfId="2" applyFont="1" applyFill="1" applyBorder="1" applyAlignment="1" applyProtection="1">
      <alignment horizontal="left" indent="1"/>
      <protection locked="0"/>
    </xf>
    <xf numFmtId="0" fontId="46" fillId="0" borderId="46" xfId="2" applyFont="1" applyFill="1" applyBorder="1" applyAlignment="1" applyProtection="1">
      <alignment horizontal="left" indent="1"/>
      <protection locked="0"/>
    </xf>
    <xf numFmtId="0" fontId="68" fillId="0" borderId="57" xfId="0" applyFont="1" applyBorder="1" applyAlignment="1">
      <alignment vertical="center"/>
    </xf>
    <xf numFmtId="0" fontId="68" fillId="0" borderId="61" xfId="0" applyFont="1" applyBorder="1" applyAlignment="1">
      <alignment vertical="center"/>
    </xf>
    <xf numFmtId="0" fontId="30" fillId="0" borderId="56" xfId="0" quotePrefix="1" applyFont="1" applyBorder="1" applyAlignment="1" applyProtection="1">
      <alignment horizontal="left" indent="1"/>
      <protection locked="0"/>
    </xf>
    <xf numFmtId="0" fontId="30" fillId="0" borderId="56" xfId="0" applyFont="1" applyBorder="1" applyAlignment="1" applyProtection="1">
      <alignment horizontal="left" indent="1"/>
      <protection locked="0"/>
    </xf>
    <xf numFmtId="0" fontId="30" fillId="0" borderId="61" xfId="0" applyFont="1" applyBorder="1" applyAlignment="1" applyProtection="1">
      <alignment horizontal="left" indent="1"/>
      <protection locked="0"/>
    </xf>
    <xf numFmtId="0" fontId="68" fillId="0" borderId="62" xfId="0" applyFont="1" applyBorder="1" applyAlignment="1">
      <alignment vertical="center"/>
    </xf>
    <xf numFmtId="0" fontId="68" fillId="0" borderId="63" xfId="0" applyFont="1" applyBorder="1" applyAlignment="1">
      <alignment vertical="center"/>
    </xf>
    <xf numFmtId="0" fontId="30" fillId="0" borderId="52" xfId="0" applyFont="1" applyBorder="1"/>
    <xf numFmtId="0" fontId="30" fillId="0" borderId="58" xfId="0" applyFont="1" applyBorder="1"/>
    <xf numFmtId="0" fontId="68" fillId="0" borderId="52" xfId="0" applyFont="1" applyBorder="1" applyAlignment="1">
      <alignment horizontal="left" vertical="center"/>
    </xf>
    <xf numFmtId="0" fontId="68" fillId="0" borderId="58" xfId="0" applyFont="1" applyBorder="1" applyAlignment="1">
      <alignment horizontal="left" vertical="center"/>
    </xf>
    <xf numFmtId="0" fontId="30" fillId="0" borderId="51" xfId="0" applyFont="1" applyBorder="1"/>
    <xf numFmtId="0" fontId="30" fillId="0" borderId="57" xfId="0" applyFont="1" applyBorder="1"/>
    <xf numFmtId="0" fontId="30" fillId="0" borderId="49" xfId="0" applyFont="1" applyBorder="1"/>
    <xf numFmtId="0" fontId="30" fillId="0" borderId="50" xfId="0" applyFont="1" applyBorder="1"/>
    <xf numFmtId="0" fontId="30" fillId="0" borderId="35" xfId="0" applyFont="1" applyBorder="1" applyAlignment="1" applyProtection="1">
      <alignment horizontal="center" vertical="center"/>
      <protection hidden="1"/>
    </xf>
    <xf numFmtId="0" fontId="30" fillId="0" borderId="36" xfId="0" applyFont="1" applyBorder="1" applyAlignment="1" applyProtection="1">
      <alignment horizontal="center" vertical="center"/>
      <protection hidden="1"/>
    </xf>
    <xf numFmtId="0" fontId="30" fillId="0" borderId="34" xfId="0" applyFont="1" applyBorder="1" applyAlignment="1" applyProtection="1">
      <alignment horizontal="center" vertical="center"/>
      <protection hidden="1"/>
    </xf>
    <xf numFmtId="0" fontId="24" fillId="0" borderId="37" xfId="0" applyFont="1" applyBorder="1" applyAlignment="1" applyProtection="1">
      <alignment horizontal="left" vertical="center" wrapText="1" indent="1"/>
      <protection locked="0"/>
    </xf>
    <xf numFmtId="0" fontId="24" fillId="0" borderId="31" xfId="0" applyFont="1" applyBorder="1" applyAlignment="1" applyProtection="1">
      <alignment horizontal="left" vertical="center" wrapText="1" indent="1"/>
      <protection locked="0"/>
    </xf>
    <xf numFmtId="0" fontId="24" fillId="0" borderId="20" xfId="0" applyFont="1" applyBorder="1" applyAlignment="1" applyProtection="1">
      <alignment horizontal="left" vertical="center" wrapText="1" indent="1"/>
      <protection locked="0"/>
    </xf>
    <xf numFmtId="0" fontId="24" fillId="0" borderId="33" xfId="0" applyFont="1" applyBorder="1" applyAlignment="1" applyProtection="1">
      <alignment horizontal="left" vertical="center" wrapText="1" indent="1"/>
      <protection locked="0"/>
    </xf>
    <xf numFmtId="14" fontId="24" fillId="0" borderId="37" xfId="0" applyNumberFormat="1" applyFont="1" applyBorder="1" applyAlignment="1" applyProtection="1">
      <alignment horizontal="left" vertical="center" wrapText="1" indent="1"/>
      <protection locked="0"/>
    </xf>
    <xf numFmtId="14" fontId="24" fillId="0" borderId="31" xfId="0" applyNumberFormat="1" applyFont="1" applyBorder="1" applyAlignment="1" applyProtection="1">
      <alignment horizontal="left" vertical="center" wrapText="1" indent="1"/>
      <protection locked="0"/>
    </xf>
    <xf numFmtId="14" fontId="24" fillId="0" borderId="20" xfId="0" applyNumberFormat="1" applyFont="1" applyBorder="1" applyAlignment="1" applyProtection="1">
      <alignment horizontal="left" vertical="center" wrapText="1" indent="1"/>
      <protection locked="0"/>
    </xf>
    <xf numFmtId="14" fontId="24" fillId="0" borderId="33" xfId="0" applyNumberFormat="1" applyFont="1" applyBorder="1" applyAlignment="1" applyProtection="1">
      <alignment horizontal="left" vertical="center" wrapText="1" indent="1"/>
      <protection locked="0"/>
    </xf>
    <xf numFmtId="0" fontId="30" fillId="0" borderId="45" xfId="0" applyFont="1" applyBorder="1" applyAlignment="1">
      <alignment horizontal="left" vertical="center"/>
    </xf>
    <xf numFmtId="0" fontId="30" fillId="0" borderId="46" xfId="0" applyFont="1" applyBorder="1" applyAlignment="1">
      <alignment vertical="center"/>
    </xf>
    <xf numFmtId="0" fontId="30" fillId="0" borderId="49" xfId="0" applyFont="1" applyBorder="1" applyAlignment="1">
      <alignment vertical="center"/>
    </xf>
    <xf numFmtId="0" fontId="30" fillId="0" borderId="50" xfId="0" applyFont="1" applyBorder="1" applyAlignment="1">
      <alignment vertical="center"/>
    </xf>
    <xf numFmtId="0" fontId="24" fillId="0" borderId="52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4" fillId="0" borderId="45" xfId="0" applyFont="1" applyBorder="1" applyAlignment="1">
      <alignment vertical="center"/>
    </xf>
    <xf numFmtId="0" fontId="27" fillId="0" borderId="46" xfId="0" applyFont="1" applyBorder="1" applyAlignment="1">
      <alignment vertical="center"/>
    </xf>
    <xf numFmtId="0" fontId="24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4" fillId="0" borderId="51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4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24" fillId="6" borderId="40" xfId="0" applyFont="1" applyFill="1" applyBorder="1" applyAlignment="1">
      <alignment horizontal="center" vertical="center"/>
    </xf>
    <xf numFmtId="0" fontId="24" fillId="6" borderId="42" xfId="0" applyFont="1" applyFill="1" applyBorder="1" applyAlignment="1">
      <alignment horizontal="center" vertical="center"/>
    </xf>
    <xf numFmtId="0" fontId="24" fillId="6" borderId="43" xfId="0" applyFont="1" applyFill="1" applyBorder="1" applyAlignment="1">
      <alignment horizontal="center" vertical="center"/>
    </xf>
    <xf numFmtId="0" fontId="24" fillId="0" borderId="37" xfId="0" applyFont="1" applyBorder="1" applyAlignment="1" applyProtection="1">
      <alignment horizontal="left" vertical="top" indent="1"/>
      <protection locked="0"/>
    </xf>
    <xf numFmtId="0" fontId="24" fillId="0" borderId="30" xfId="0" applyFont="1" applyBorder="1" applyAlignment="1" applyProtection="1">
      <alignment horizontal="left" vertical="top" indent="1"/>
      <protection locked="0"/>
    </xf>
    <xf numFmtId="0" fontId="24" fillId="0" borderId="31" xfId="0" applyFont="1" applyBorder="1" applyAlignment="1" applyProtection="1">
      <alignment horizontal="left" vertical="top" indent="1"/>
      <protection locked="0"/>
    </xf>
    <xf numFmtId="0" fontId="24" fillId="0" borderId="20" xfId="0" applyFont="1" applyBorder="1" applyAlignment="1" applyProtection="1">
      <alignment horizontal="left" vertical="top" indent="1"/>
      <protection locked="0"/>
    </xf>
    <xf numFmtId="0" fontId="24" fillId="0" borderId="27" xfId="0" applyFont="1" applyBorder="1" applyAlignment="1" applyProtection="1">
      <alignment horizontal="left" vertical="top" indent="1"/>
      <protection locked="0"/>
    </xf>
    <xf numFmtId="0" fontId="24" fillId="0" borderId="33" xfId="0" applyFont="1" applyBorder="1" applyAlignment="1" applyProtection="1">
      <alignment horizontal="left" vertical="top" indent="1"/>
      <protection locked="0"/>
    </xf>
    <xf numFmtId="0" fontId="30" fillId="0" borderId="42" xfId="0" applyFont="1" applyBorder="1" applyAlignment="1">
      <alignment vertical="center"/>
    </xf>
    <xf numFmtId="0" fontId="30" fillId="0" borderId="43" xfId="0" applyFont="1" applyBorder="1" applyAlignment="1">
      <alignment vertical="center"/>
    </xf>
    <xf numFmtId="3" fontId="68" fillId="0" borderId="47" xfId="0" applyNumberFormat="1" applyFont="1" applyBorder="1" applyAlignment="1">
      <alignment horizontal="left" vertical="center"/>
    </xf>
    <xf numFmtId="0" fontId="68" fillId="0" borderId="48" xfId="0" applyFont="1" applyBorder="1" applyAlignment="1">
      <alignment horizontal="left" vertical="center"/>
    </xf>
    <xf numFmtId="1" fontId="30" fillId="0" borderId="40" xfId="0" applyNumberFormat="1" applyFont="1" applyBorder="1" applyAlignment="1" applyProtection="1">
      <alignment horizontal="left" indent="1"/>
      <protection locked="0"/>
    </xf>
    <xf numFmtId="1" fontId="30" fillId="0" borderId="42" xfId="0" applyNumberFormat="1" applyFont="1" applyBorder="1" applyAlignment="1" applyProtection="1">
      <alignment horizontal="left" indent="1"/>
      <protection locked="0"/>
    </xf>
    <xf numFmtId="1" fontId="30" fillId="0" borderId="43" xfId="0" applyNumberFormat="1" applyFont="1" applyBorder="1" applyAlignment="1" applyProtection="1">
      <alignment horizontal="left" indent="1"/>
      <protection locked="0"/>
    </xf>
    <xf numFmtId="0" fontId="30" fillId="0" borderId="40" xfId="0" applyFont="1" applyBorder="1" applyAlignment="1" applyProtection="1">
      <alignment horizontal="left" indent="1"/>
      <protection locked="0"/>
    </xf>
    <xf numFmtId="0" fontId="30" fillId="0" borderId="42" xfId="0" applyFont="1" applyBorder="1" applyAlignment="1" applyProtection="1">
      <alignment horizontal="left" indent="1"/>
      <protection locked="0"/>
    </xf>
    <xf numFmtId="0" fontId="30" fillId="0" borderId="43" xfId="0" applyFont="1" applyBorder="1" applyAlignment="1" applyProtection="1">
      <alignment horizontal="left" indent="1"/>
      <protection locked="0"/>
    </xf>
    <xf numFmtId="165" fontId="30" fillId="0" borderId="40" xfId="0" applyNumberFormat="1" applyFont="1" applyBorder="1" applyAlignment="1" applyProtection="1">
      <alignment horizontal="left" indent="1"/>
      <protection locked="0"/>
    </xf>
    <xf numFmtId="165" fontId="30" fillId="0" borderId="42" xfId="0" applyNumberFormat="1" applyFont="1" applyBorder="1" applyAlignment="1" applyProtection="1">
      <alignment horizontal="left" indent="1"/>
      <protection locked="0"/>
    </xf>
    <xf numFmtId="165" fontId="30" fillId="0" borderId="43" xfId="0" applyNumberFormat="1" applyFont="1" applyBorder="1" applyAlignment="1" applyProtection="1">
      <alignment horizontal="left" indent="1"/>
      <protection locked="0"/>
    </xf>
    <xf numFmtId="0" fontId="30" fillId="0" borderId="40" xfId="2" applyFont="1" applyFill="1" applyBorder="1" applyAlignment="1" applyProtection="1">
      <alignment horizontal="left" indent="1"/>
      <protection locked="0"/>
    </xf>
    <xf numFmtId="0" fontId="30" fillId="0" borderId="42" xfId="2" applyFont="1" applyFill="1" applyBorder="1" applyAlignment="1" applyProtection="1">
      <alignment horizontal="left" indent="1"/>
      <protection locked="0"/>
    </xf>
    <xf numFmtId="0" fontId="30" fillId="0" borderId="43" xfId="2" applyFont="1" applyFill="1" applyBorder="1" applyAlignment="1" applyProtection="1">
      <alignment horizontal="left" indent="1"/>
      <protection locked="0"/>
    </xf>
    <xf numFmtId="0" fontId="30" fillId="0" borderId="40" xfId="0" applyFont="1" applyBorder="1" applyAlignment="1" applyProtection="1">
      <alignment horizontal="left" indent="1"/>
      <protection hidden="1"/>
    </xf>
    <xf numFmtId="0" fontId="30" fillId="0" borderId="42" xfId="0" applyFont="1" applyBorder="1" applyAlignment="1" applyProtection="1">
      <alignment horizontal="left" indent="1"/>
      <protection hidden="1"/>
    </xf>
    <xf numFmtId="0" fontId="30" fillId="0" borderId="43" xfId="0" applyFont="1" applyBorder="1" applyAlignment="1" applyProtection="1">
      <alignment horizontal="left" indent="1"/>
      <protection hidden="1"/>
    </xf>
    <xf numFmtId="14" fontId="30" fillId="0" borderId="40" xfId="0" applyNumberFormat="1" applyFont="1" applyBorder="1" applyAlignment="1" applyProtection="1">
      <alignment horizontal="left" indent="1"/>
      <protection locked="0"/>
    </xf>
    <xf numFmtId="0" fontId="30" fillId="0" borderId="53" xfId="0" applyFont="1" applyBorder="1"/>
    <xf numFmtId="0" fontId="30" fillId="0" borderId="54" xfId="0" applyFont="1" applyBorder="1"/>
    <xf numFmtId="0" fontId="37" fillId="0" borderId="37" xfId="0" applyFont="1" applyBorder="1" applyAlignment="1" applyProtection="1">
      <alignment horizontal="center" vertical="center" wrapText="1"/>
      <protection hidden="1"/>
    </xf>
    <xf numFmtId="0" fontId="37" fillId="0" borderId="30" xfId="0" applyFont="1" applyBorder="1" applyAlignment="1" applyProtection="1">
      <alignment horizontal="center" vertical="center" wrapText="1"/>
      <protection hidden="1"/>
    </xf>
    <xf numFmtId="0" fontId="37" fillId="0" borderId="31" xfId="0" applyFont="1" applyBorder="1" applyAlignment="1" applyProtection="1">
      <alignment horizontal="center" vertical="center" wrapText="1"/>
      <protection hidden="1"/>
    </xf>
    <xf numFmtId="0" fontId="37" fillId="0" borderId="20" xfId="0" applyFont="1" applyBorder="1" applyAlignment="1" applyProtection="1">
      <alignment horizontal="center" vertical="center" wrapText="1"/>
      <protection hidden="1"/>
    </xf>
    <xf numFmtId="0" fontId="37" fillId="0" borderId="27" xfId="0" applyFont="1" applyBorder="1" applyAlignment="1" applyProtection="1">
      <alignment horizontal="center" vertical="center" wrapText="1"/>
      <protection hidden="1"/>
    </xf>
    <xf numFmtId="0" fontId="37" fillId="0" borderId="33" xfId="0" applyFont="1" applyBorder="1" applyAlignment="1" applyProtection="1">
      <alignment horizontal="center" vertical="center" wrapText="1"/>
      <protection hidden="1"/>
    </xf>
    <xf numFmtId="0" fontId="22" fillId="0" borderId="37" xfId="0" applyFont="1" applyBorder="1" applyAlignment="1" applyProtection="1">
      <alignment horizontal="center" vertical="center" wrapText="1"/>
      <protection hidden="1"/>
    </xf>
    <xf numFmtId="0" fontId="22" fillId="0" borderId="30" xfId="0" applyFont="1" applyBorder="1" applyAlignment="1" applyProtection="1">
      <alignment horizontal="center" vertical="center" wrapText="1"/>
      <protection hidden="1"/>
    </xf>
    <xf numFmtId="0" fontId="22" fillId="0" borderId="31" xfId="0" applyFont="1" applyBorder="1" applyAlignment="1" applyProtection="1">
      <alignment horizontal="center" vertical="center" wrapText="1"/>
      <protection hidden="1"/>
    </xf>
    <xf numFmtId="0" fontId="22" fillId="0" borderId="20" xfId="0" applyFont="1" applyBorder="1" applyAlignment="1" applyProtection="1">
      <alignment horizontal="center" vertical="center" wrapText="1"/>
      <protection hidden="1"/>
    </xf>
    <xf numFmtId="0" fontId="22" fillId="0" borderId="27" xfId="0" applyFont="1" applyBorder="1" applyAlignment="1" applyProtection="1">
      <alignment horizontal="center" vertical="center" wrapText="1"/>
      <protection hidden="1"/>
    </xf>
    <xf numFmtId="0" fontId="22" fillId="0" borderId="33" xfId="0" applyFont="1" applyBorder="1" applyAlignment="1" applyProtection="1">
      <alignment horizontal="center" vertical="center" wrapText="1"/>
      <protection hidden="1"/>
    </xf>
    <xf numFmtId="1" fontId="22" fillId="0" borderId="37" xfId="0" applyNumberFormat="1" applyFont="1" applyBorder="1" applyAlignment="1" applyProtection="1">
      <alignment horizontal="center" vertical="center"/>
      <protection hidden="1"/>
    </xf>
    <xf numFmtId="1" fontId="22" fillId="0" borderId="30" xfId="0" applyNumberFormat="1" applyFont="1" applyBorder="1" applyAlignment="1" applyProtection="1">
      <alignment horizontal="center" vertical="center"/>
      <protection hidden="1"/>
    </xf>
    <xf numFmtId="1" fontId="22" fillId="0" borderId="31" xfId="0" applyNumberFormat="1" applyFont="1" applyBorder="1" applyAlignment="1" applyProtection="1">
      <alignment horizontal="center" vertical="center"/>
      <protection hidden="1"/>
    </xf>
    <xf numFmtId="1" fontId="22" fillId="0" borderId="20" xfId="0" applyNumberFormat="1" applyFont="1" applyBorder="1" applyAlignment="1" applyProtection="1">
      <alignment horizontal="center" vertical="center"/>
      <protection hidden="1"/>
    </xf>
    <xf numFmtId="1" fontId="22" fillId="0" borderId="27" xfId="0" applyNumberFormat="1" applyFont="1" applyBorder="1" applyAlignment="1" applyProtection="1">
      <alignment horizontal="center" vertical="center"/>
      <protection hidden="1"/>
    </xf>
    <xf numFmtId="1" fontId="22" fillId="0" borderId="33" xfId="0" applyNumberFormat="1" applyFont="1" applyBorder="1" applyAlignment="1" applyProtection="1">
      <alignment horizontal="center" vertical="center"/>
      <protection hidden="1"/>
    </xf>
    <xf numFmtId="0" fontId="7" fillId="0" borderId="18" xfId="0" applyFont="1" applyBorder="1" applyAlignment="1" applyProtection="1">
      <alignment horizontal="left" vertical="center" wrapText="1"/>
      <protection hidden="1"/>
    </xf>
    <xf numFmtId="0" fontId="7" fillId="0" borderId="3" xfId="0" applyFont="1" applyBorder="1" applyAlignment="1" applyProtection="1">
      <alignment horizontal="left" vertical="center" wrapText="1"/>
      <protection hidden="1"/>
    </xf>
    <xf numFmtId="0" fontId="0" fillId="0" borderId="3" xfId="0" applyBorder="1" applyAlignment="1" applyProtection="1">
      <alignment horizontal="left" vertical="center" wrapText="1"/>
      <protection hidden="1"/>
    </xf>
    <xf numFmtId="0" fontId="18" fillId="0" borderId="27" xfId="0" applyFont="1" applyBorder="1" applyAlignment="1">
      <alignment horizontal="center"/>
    </xf>
    <xf numFmtId="0" fontId="18" fillId="0" borderId="37" xfId="0" applyFont="1" applyBorder="1" applyAlignment="1" applyProtection="1">
      <alignment horizontal="center" vertical="center" wrapText="1"/>
      <protection hidden="1"/>
    </xf>
    <xf numFmtId="0" fontId="0" fillId="0" borderId="31" xfId="0" applyBorder="1" applyAlignment="1" applyProtection="1">
      <alignment horizontal="center" vertical="center" wrapText="1"/>
      <protection hidden="1"/>
    </xf>
    <xf numFmtId="0" fontId="0" fillId="0" borderId="20" xfId="0" applyBorder="1" applyAlignment="1" applyProtection="1">
      <alignment horizontal="center" vertical="center" wrapText="1"/>
      <protection hidden="1"/>
    </xf>
    <xf numFmtId="0" fontId="0" fillId="0" borderId="33" xfId="0" applyBorder="1" applyAlignment="1" applyProtection="1">
      <alignment horizontal="center" vertical="center" wrapText="1"/>
      <protection hidden="1"/>
    </xf>
    <xf numFmtId="0" fontId="7" fillId="0" borderId="18" xfId="0" applyFont="1" applyBorder="1" applyAlignment="1" applyProtection="1">
      <alignment horizontal="center" vertical="center" wrapText="1"/>
      <protection hidden="1"/>
    </xf>
    <xf numFmtId="0" fontId="7" fillId="0" borderId="3" xfId="0" applyFont="1" applyBorder="1" applyAlignment="1" applyProtection="1">
      <alignment horizontal="center" vertical="center" wrapText="1"/>
      <protection hidden="1"/>
    </xf>
    <xf numFmtId="14" fontId="18" fillId="0" borderId="18" xfId="0" applyNumberFormat="1" applyFont="1" applyBorder="1" applyAlignment="1" applyProtection="1">
      <alignment horizontal="center" vertical="center" wrapText="1"/>
      <protection hidden="1"/>
    </xf>
    <xf numFmtId="14" fontId="18" fillId="0" borderId="3" xfId="0" applyNumberFormat="1" applyFont="1" applyBorder="1" applyAlignment="1" applyProtection="1">
      <alignment horizontal="center" vertical="center" wrapText="1"/>
      <protection hidden="1"/>
    </xf>
    <xf numFmtId="0" fontId="41" fillId="0" borderId="18" xfId="0" applyFont="1" applyBorder="1" applyAlignment="1" applyProtection="1">
      <alignment horizontal="center" vertical="center" wrapText="1"/>
      <protection locked="0"/>
    </xf>
    <xf numFmtId="0" fontId="41" fillId="0" borderId="19" xfId="0" applyFont="1" applyBorder="1" applyAlignment="1" applyProtection="1">
      <alignment horizontal="center" vertical="center" wrapText="1"/>
      <protection locked="0"/>
    </xf>
    <xf numFmtId="0" fontId="41" fillId="0" borderId="3" xfId="0" applyFont="1" applyBorder="1" applyAlignment="1" applyProtection="1">
      <alignment horizontal="center" vertical="center" wrapText="1"/>
      <protection locked="0"/>
    </xf>
    <xf numFmtId="0" fontId="22" fillId="0" borderId="64" xfId="0" applyFont="1" applyBorder="1" applyAlignment="1">
      <alignment horizontal="right" vertical="center"/>
    </xf>
    <xf numFmtId="0" fontId="0" fillId="0" borderId="3" xfId="0" applyBorder="1" applyAlignment="1" applyProtection="1">
      <alignment horizontal="center" vertical="center" wrapText="1"/>
      <protection hidden="1"/>
    </xf>
    <xf numFmtId="0" fontId="7" fillId="0" borderId="37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39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14" fontId="18" fillId="0" borderId="18" xfId="0" applyNumberFormat="1" applyFont="1" applyBorder="1" applyAlignment="1" applyProtection="1">
      <alignment horizontal="center" vertical="center" wrapText="1"/>
      <protection locked="0"/>
    </xf>
    <xf numFmtId="14" fontId="18" fillId="0" borderId="3" xfId="0" applyNumberFormat="1" applyFont="1" applyBorder="1" applyAlignment="1" applyProtection="1">
      <alignment horizontal="center" vertical="center" wrapText="1"/>
      <protection locked="0"/>
    </xf>
    <xf numFmtId="0" fontId="18" fillId="0" borderId="37" xfId="0" applyFont="1" applyBorder="1" applyAlignment="1" applyProtection="1">
      <alignment horizontal="center" vertical="center" wrapText="1"/>
      <protection locked="0"/>
    </xf>
    <xf numFmtId="0" fontId="18" fillId="0" borderId="31" xfId="0" applyFont="1" applyBorder="1" applyAlignment="1" applyProtection="1">
      <alignment horizontal="center" vertical="center" wrapText="1"/>
      <protection locked="0"/>
    </xf>
    <xf numFmtId="0" fontId="18" fillId="0" borderId="20" xfId="0" applyFont="1" applyBorder="1" applyAlignment="1" applyProtection="1">
      <alignment horizontal="center" vertical="center" wrapText="1"/>
      <protection locked="0"/>
    </xf>
    <xf numFmtId="0" fontId="18" fillId="0" borderId="33" xfId="0" applyFont="1" applyBorder="1" applyAlignment="1" applyProtection="1">
      <alignment horizontal="center" vertical="center" wrapText="1"/>
      <protection locked="0"/>
    </xf>
    <xf numFmtId="0" fontId="7" fillId="2" borderId="18" xfId="0" applyFont="1" applyFill="1" applyBorder="1" applyAlignment="1" applyProtection="1">
      <alignment horizontal="left" vertical="center" wrapText="1"/>
      <protection hidden="1"/>
    </xf>
    <xf numFmtId="0" fontId="7" fillId="2" borderId="3" xfId="0" applyFont="1" applyFill="1" applyBorder="1" applyAlignment="1" applyProtection="1">
      <alignment horizontal="left" vertical="center" wrapText="1"/>
      <protection hidden="1"/>
    </xf>
    <xf numFmtId="0" fontId="18" fillId="0" borderId="49" xfId="0" applyFont="1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/>
      <protection locked="0"/>
    </xf>
    <xf numFmtId="0" fontId="0" fillId="0" borderId="46" xfId="0" applyBorder="1" applyAlignment="1" applyProtection="1">
      <alignment horizontal="center"/>
      <protection locked="0"/>
    </xf>
    <xf numFmtId="1" fontId="18" fillId="0" borderId="52" xfId="0" applyNumberFormat="1" applyFont="1" applyBorder="1" applyAlignment="1" applyProtection="1">
      <alignment horizontal="center"/>
      <protection locked="0"/>
    </xf>
    <xf numFmtId="1" fontId="0" fillId="0" borderId="47" xfId="0" applyNumberFormat="1" applyBorder="1" applyAlignment="1" applyProtection="1">
      <alignment horizontal="center"/>
      <protection locked="0"/>
    </xf>
    <xf numFmtId="1" fontId="0" fillId="0" borderId="48" xfId="0" applyNumberFormat="1" applyBorder="1" applyAlignment="1" applyProtection="1">
      <alignment horizontal="center"/>
      <protection locked="0"/>
    </xf>
    <xf numFmtId="0" fontId="18" fillId="0" borderId="35" xfId="0" applyFont="1" applyBorder="1" applyAlignment="1">
      <alignment horizontal="center"/>
    </xf>
    <xf numFmtId="0" fontId="18" fillId="0" borderId="36" xfId="0" applyFont="1" applyBorder="1" applyAlignment="1">
      <alignment horizontal="center"/>
    </xf>
    <xf numFmtId="0" fontId="18" fillId="0" borderId="34" xfId="0" applyFont="1" applyBorder="1" applyAlignment="1">
      <alignment horizontal="center"/>
    </xf>
    <xf numFmtId="0" fontId="18" fillId="0" borderId="51" xfId="0" applyFont="1" applyBorder="1" applyAlignment="1" applyProtection="1">
      <alignment horizontal="center"/>
      <protection locked="0"/>
    </xf>
    <xf numFmtId="0" fontId="0" fillId="0" borderId="42" xfId="0" applyBorder="1" applyAlignment="1" applyProtection="1">
      <alignment horizontal="center"/>
      <protection locked="0"/>
    </xf>
    <xf numFmtId="0" fontId="0" fillId="0" borderId="43" xfId="0" applyBorder="1" applyAlignment="1" applyProtection="1">
      <alignment horizontal="center"/>
      <protection locked="0"/>
    </xf>
    <xf numFmtId="0" fontId="18" fillId="0" borderId="0" xfId="0" applyFont="1" applyAlignment="1" applyProtection="1">
      <alignment horizontal="left" indent="1"/>
      <protection hidden="1"/>
    </xf>
    <xf numFmtId="0" fontId="18" fillId="0" borderId="35" xfId="0" applyFont="1" applyBorder="1" applyAlignment="1" applyProtection="1">
      <alignment horizontal="left" wrapText="1" indent="1"/>
      <protection hidden="1"/>
    </xf>
    <xf numFmtId="0" fontId="18" fillId="0" borderId="36" xfId="0" applyFont="1" applyBorder="1" applyAlignment="1" applyProtection="1">
      <alignment horizontal="left" wrapText="1" indent="1"/>
      <protection hidden="1"/>
    </xf>
    <xf numFmtId="0" fontId="18" fillId="0" borderId="34" xfId="0" applyFont="1" applyBorder="1" applyAlignment="1" applyProtection="1">
      <alignment horizontal="left" wrapText="1" indent="1"/>
      <protection hidden="1"/>
    </xf>
    <xf numFmtId="0" fontId="18" fillId="0" borderId="35" xfId="0" applyFont="1" applyBorder="1"/>
    <xf numFmtId="0" fontId="0" fillId="0" borderId="36" xfId="0" applyBorder="1"/>
    <xf numFmtId="0" fontId="0" fillId="0" borderId="34" xfId="0" applyBorder="1"/>
    <xf numFmtId="0" fontId="18" fillId="0" borderId="0" xfId="0" applyFont="1" applyAlignment="1">
      <alignment horizontal="left" wrapText="1"/>
    </xf>
    <xf numFmtId="0" fontId="18" fillId="0" borderId="35" xfId="0" applyFont="1" applyBorder="1" applyAlignment="1" applyProtection="1">
      <alignment horizontal="left" vertical="center" wrapText="1"/>
      <protection hidden="1"/>
    </xf>
    <xf numFmtId="0" fontId="18" fillId="0" borderId="36" xfId="0" applyFont="1" applyBorder="1" applyAlignment="1" applyProtection="1">
      <alignment horizontal="left" vertical="center" wrapText="1"/>
      <protection hidden="1"/>
    </xf>
    <xf numFmtId="0" fontId="18" fillId="0" borderId="34" xfId="0" applyFont="1" applyBorder="1" applyAlignment="1" applyProtection="1">
      <alignment horizontal="left" vertical="center" wrapText="1"/>
      <protection hidden="1"/>
    </xf>
    <xf numFmtId="0" fontId="16" fillId="0" borderId="0" xfId="0" applyFont="1" applyAlignment="1" applyProtection="1">
      <alignment horizontal="center" wrapText="1"/>
      <protection locked="0"/>
    </xf>
    <xf numFmtId="0" fontId="18" fillId="0" borderId="37" xfId="0" applyFont="1" applyBorder="1" applyAlignment="1" applyProtection="1">
      <alignment vertical="center" wrapText="1"/>
      <protection hidden="1"/>
    </xf>
    <xf numFmtId="0" fontId="18" fillId="0" borderId="30" xfId="0" applyFont="1" applyBorder="1" applyAlignment="1" applyProtection="1">
      <alignment vertical="center" wrapText="1"/>
      <protection hidden="1"/>
    </xf>
    <xf numFmtId="0" fontId="18" fillId="0" borderId="31" xfId="0" applyFont="1" applyBorder="1" applyAlignment="1" applyProtection="1">
      <alignment vertical="center" wrapText="1"/>
      <protection hidden="1"/>
    </xf>
    <xf numFmtId="0" fontId="18" fillId="0" borderId="64" xfId="0" applyFont="1" applyBorder="1" applyAlignment="1" applyProtection="1">
      <alignment vertical="center" wrapText="1"/>
      <protection hidden="1"/>
    </xf>
    <xf numFmtId="0" fontId="18" fillId="0" borderId="0" xfId="0" applyFont="1" applyAlignment="1" applyProtection="1">
      <alignment vertical="center" wrapText="1"/>
      <protection hidden="1"/>
    </xf>
    <xf numFmtId="0" fontId="18" fillId="0" borderId="32" xfId="0" applyFont="1" applyBorder="1" applyAlignment="1" applyProtection="1">
      <alignment vertical="center" wrapText="1"/>
      <protection hidden="1"/>
    </xf>
    <xf numFmtId="0" fontId="18" fillId="0" borderId="20" xfId="0" applyFont="1" applyBorder="1" applyAlignment="1" applyProtection="1">
      <alignment vertical="center" wrapText="1"/>
      <protection hidden="1"/>
    </xf>
    <xf numFmtId="0" fontId="18" fillId="0" borderId="27" xfId="0" applyFont="1" applyBorder="1" applyAlignment="1" applyProtection="1">
      <alignment vertical="center" wrapText="1"/>
      <protection hidden="1"/>
    </xf>
    <xf numFmtId="0" fontId="18" fillId="0" borderId="33" xfId="0" applyFont="1" applyBorder="1" applyAlignment="1" applyProtection="1">
      <alignment vertical="center" wrapText="1"/>
      <protection hidden="1"/>
    </xf>
    <xf numFmtId="0" fontId="28" fillId="0" borderId="0" xfId="0" applyFont="1" applyAlignment="1">
      <alignment horizontal="left"/>
    </xf>
    <xf numFmtId="14" fontId="18" fillId="0" borderId="35" xfId="0" applyNumberFormat="1" applyFont="1" applyBorder="1" applyAlignment="1" applyProtection="1">
      <alignment horizontal="left" wrapText="1" indent="1"/>
      <protection hidden="1"/>
    </xf>
    <xf numFmtId="14" fontId="18" fillId="0" borderId="34" xfId="0" applyNumberFormat="1" applyFont="1" applyBorder="1" applyAlignment="1" applyProtection="1">
      <alignment horizontal="left" wrapText="1" indent="1"/>
      <protection hidden="1"/>
    </xf>
    <xf numFmtId="0" fontId="18" fillId="6" borderId="35" xfId="0" applyFont="1" applyFill="1" applyBorder="1" applyAlignment="1" applyProtection="1">
      <alignment horizontal="left"/>
      <protection hidden="1"/>
    </xf>
    <xf numFmtId="0" fontId="18" fillId="6" borderId="36" xfId="0" applyFont="1" applyFill="1" applyBorder="1" applyAlignment="1" applyProtection="1">
      <alignment horizontal="left"/>
      <protection hidden="1"/>
    </xf>
    <xf numFmtId="0" fontId="18" fillId="6" borderId="34" xfId="0" applyFont="1" applyFill="1" applyBorder="1" applyAlignment="1" applyProtection="1">
      <alignment horizontal="left"/>
      <protection hidden="1"/>
    </xf>
    <xf numFmtId="0" fontId="18" fillId="2" borderId="35" xfId="0" applyFont="1" applyFill="1" applyBorder="1" applyAlignment="1" applyProtection="1">
      <alignment horizontal="left"/>
      <protection hidden="1"/>
    </xf>
    <xf numFmtId="0" fontId="0" fillId="0" borderId="36" xfId="0" applyBorder="1" applyAlignment="1" applyProtection="1">
      <alignment horizontal="left"/>
      <protection hidden="1"/>
    </xf>
    <xf numFmtId="0" fontId="0" fillId="0" borderId="34" xfId="0" applyBorder="1" applyAlignment="1" applyProtection="1">
      <alignment horizontal="left"/>
      <protection hidden="1"/>
    </xf>
    <xf numFmtId="0" fontId="18" fillId="0" borderId="0" xfId="0" applyFont="1" applyAlignment="1">
      <alignment vertical="center" wrapText="1"/>
    </xf>
    <xf numFmtId="0" fontId="31" fillId="0" borderId="0" xfId="0" applyFont="1" applyAlignment="1">
      <alignment horizontal="center" vertical="center"/>
    </xf>
    <xf numFmtId="0" fontId="18" fillId="0" borderId="35" xfId="0" applyFont="1" applyBorder="1" applyAlignment="1" applyProtection="1">
      <alignment horizontal="left" wrapText="1"/>
      <protection hidden="1"/>
    </xf>
    <xf numFmtId="0" fontId="18" fillId="0" borderId="36" xfId="0" applyFont="1" applyBorder="1" applyAlignment="1" applyProtection="1">
      <alignment horizontal="left" wrapText="1"/>
      <protection hidden="1"/>
    </xf>
    <xf numFmtId="0" fontId="18" fillId="0" borderId="34" xfId="0" applyFont="1" applyBorder="1" applyAlignment="1" applyProtection="1">
      <alignment horizontal="left" wrapText="1"/>
      <protection hidden="1"/>
    </xf>
    <xf numFmtId="1" fontId="18" fillId="2" borderId="35" xfId="0" applyNumberFormat="1" applyFont="1" applyFill="1" applyBorder="1" applyAlignment="1" applyProtection="1">
      <alignment horizontal="left" vertical="top"/>
      <protection hidden="1"/>
    </xf>
    <xf numFmtId="1" fontId="0" fillId="0" borderId="36" xfId="0" applyNumberFormat="1" applyBorder="1" applyAlignment="1" applyProtection="1">
      <alignment horizontal="left" vertical="top"/>
      <protection hidden="1"/>
    </xf>
    <xf numFmtId="1" fontId="0" fillId="0" borderId="34" xfId="0" applyNumberFormat="1" applyBorder="1" applyAlignment="1" applyProtection="1">
      <alignment horizontal="left" vertical="top"/>
      <protection hidden="1"/>
    </xf>
    <xf numFmtId="0" fontId="18" fillId="2" borderId="35" xfId="0" applyFont="1" applyFill="1" applyBorder="1" applyAlignment="1" applyProtection="1">
      <alignment horizontal="left" vertical="top"/>
      <protection hidden="1"/>
    </xf>
    <xf numFmtId="0" fontId="0" fillId="2" borderId="36" xfId="0" applyFill="1" applyBorder="1" applyAlignment="1" applyProtection="1">
      <alignment horizontal="left" vertical="top"/>
      <protection hidden="1"/>
    </xf>
    <xf numFmtId="0" fontId="0" fillId="2" borderId="34" xfId="0" applyFill="1" applyBorder="1" applyAlignment="1" applyProtection="1">
      <alignment horizontal="left" vertical="top"/>
      <protection hidden="1"/>
    </xf>
    <xf numFmtId="0" fontId="37" fillId="0" borderId="64" xfId="0" applyFont="1" applyBorder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 vertical="center" wrapText="1"/>
      <protection hidden="1"/>
    </xf>
    <xf numFmtId="0" fontId="37" fillId="0" borderId="32" xfId="0" applyFont="1" applyBorder="1" applyAlignment="1" applyProtection="1">
      <alignment horizontal="center" vertical="center" wrapText="1"/>
      <protection hidden="1"/>
    </xf>
    <xf numFmtId="0" fontId="51" fillId="0" borderId="12" xfId="0" applyFont="1" applyBorder="1" applyAlignment="1" applyProtection="1">
      <alignment horizontal="center"/>
      <protection hidden="1"/>
    </xf>
    <xf numFmtId="0" fontId="51" fillId="0" borderId="13" xfId="0" applyFont="1" applyBorder="1" applyAlignment="1" applyProtection="1">
      <alignment horizontal="center"/>
      <protection hidden="1"/>
    </xf>
    <xf numFmtId="0" fontId="51" fillId="0" borderId="14" xfId="0" applyFont="1" applyBorder="1" applyAlignment="1" applyProtection="1">
      <alignment horizontal="center"/>
      <protection hidden="1"/>
    </xf>
    <xf numFmtId="1" fontId="51" fillId="2" borderId="12" xfId="0" applyNumberFormat="1" applyFont="1" applyFill="1" applyBorder="1" applyAlignment="1" applyProtection="1">
      <alignment horizontal="center"/>
      <protection hidden="1"/>
    </xf>
    <xf numFmtId="0" fontId="51" fillId="2" borderId="13" xfId="0" applyFont="1" applyFill="1" applyBorder="1" applyAlignment="1" applyProtection="1">
      <alignment horizontal="center"/>
      <protection hidden="1"/>
    </xf>
    <xf numFmtId="0" fontId="51" fillId="2" borderId="14" xfId="0" applyFont="1" applyFill="1" applyBorder="1" applyAlignment="1" applyProtection="1">
      <alignment horizontal="center"/>
      <protection hidden="1"/>
    </xf>
    <xf numFmtId="0" fontId="51" fillId="2" borderId="12" xfId="0" applyFont="1" applyFill="1" applyBorder="1" applyAlignment="1" applyProtection="1">
      <alignment horizontal="center" vertical="center"/>
      <protection hidden="1"/>
    </xf>
    <xf numFmtId="0" fontId="51" fillId="2" borderId="13" xfId="0" applyFont="1" applyFill="1" applyBorder="1" applyAlignment="1" applyProtection="1">
      <alignment horizontal="center" vertical="center"/>
      <protection hidden="1"/>
    </xf>
    <xf numFmtId="0" fontId="51" fillId="2" borderId="14" xfId="0" applyFont="1" applyFill="1" applyBorder="1" applyAlignment="1" applyProtection="1">
      <alignment horizontal="center" vertical="center"/>
      <protection hidden="1"/>
    </xf>
    <xf numFmtId="14" fontId="51" fillId="0" borderId="12" xfId="0" applyNumberFormat="1" applyFont="1" applyBorder="1" applyAlignment="1" applyProtection="1">
      <alignment horizontal="center"/>
      <protection hidden="1"/>
    </xf>
    <xf numFmtId="14" fontId="51" fillId="0" borderId="13" xfId="0" applyNumberFormat="1" applyFont="1" applyBorder="1" applyAlignment="1" applyProtection="1">
      <alignment horizontal="center"/>
      <protection hidden="1"/>
    </xf>
    <xf numFmtId="14" fontId="51" fillId="0" borderId="14" xfId="0" applyNumberFormat="1" applyFont="1" applyBorder="1" applyAlignment="1" applyProtection="1">
      <alignment horizontal="center"/>
      <protection hidden="1"/>
    </xf>
    <xf numFmtId="0" fontId="51" fillId="2" borderId="12" xfId="0" applyFont="1" applyFill="1" applyBorder="1" applyAlignment="1" applyProtection="1">
      <alignment horizontal="center"/>
      <protection hidden="1"/>
    </xf>
    <xf numFmtId="0" fontId="49" fillId="0" borderId="15" xfId="0" applyFont="1" applyBorder="1" applyAlignment="1" applyProtection="1">
      <alignment horizontal="center" vertical="center" wrapText="1"/>
      <protection hidden="1"/>
    </xf>
    <xf numFmtId="0" fontId="49" fillId="0" borderId="16" xfId="0" applyFont="1" applyBorder="1" applyAlignment="1" applyProtection="1">
      <alignment horizontal="center" vertical="center" wrapText="1"/>
      <protection hidden="1"/>
    </xf>
    <xf numFmtId="0" fontId="49" fillId="0" borderId="17" xfId="0" applyFont="1" applyBorder="1" applyAlignment="1" applyProtection="1">
      <alignment horizontal="center" vertical="center" wrapText="1"/>
      <protection hidden="1"/>
    </xf>
    <xf numFmtId="0" fontId="49" fillId="0" borderId="23" xfId="0" applyFont="1" applyBorder="1" applyAlignment="1" applyProtection="1">
      <alignment horizontal="center" vertical="center" wrapText="1"/>
      <protection hidden="1"/>
    </xf>
    <xf numFmtId="0" fontId="49" fillId="0" borderId="0" xfId="0" applyFont="1" applyAlignment="1" applyProtection="1">
      <alignment horizontal="center" vertical="center" wrapText="1"/>
      <protection hidden="1"/>
    </xf>
    <xf numFmtId="0" fontId="49" fillId="0" borderId="1" xfId="0" applyFont="1" applyBorder="1" applyAlignment="1" applyProtection="1">
      <alignment horizontal="center" vertical="center" wrapText="1"/>
      <protection hidden="1"/>
    </xf>
    <xf numFmtId="0" fontId="49" fillId="0" borderId="24" xfId="0" applyFont="1" applyBorder="1" applyAlignment="1" applyProtection="1">
      <alignment horizontal="center" vertical="center" wrapText="1"/>
      <protection hidden="1"/>
    </xf>
    <xf numFmtId="0" fontId="49" fillId="0" borderId="25" xfId="0" applyFont="1" applyBorder="1" applyAlignment="1" applyProtection="1">
      <alignment horizontal="center" vertical="center" wrapText="1"/>
      <protection hidden="1"/>
    </xf>
    <xf numFmtId="0" fontId="49" fillId="0" borderId="22" xfId="0" applyFont="1" applyBorder="1" applyAlignment="1" applyProtection="1">
      <alignment horizontal="center" vertical="center" wrapText="1"/>
      <protection hidden="1"/>
    </xf>
    <xf numFmtId="0" fontId="50" fillId="0" borderId="15" xfId="0" applyFont="1" applyBorder="1" applyAlignment="1" applyProtection="1">
      <alignment horizontal="center" vertical="center" shrinkToFit="1"/>
      <protection hidden="1"/>
    </xf>
    <xf numFmtId="0" fontId="50" fillId="0" borderId="16" xfId="0" applyFont="1" applyBorder="1" applyAlignment="1" applyProtection="1">
      <alignment horizontal="center" vertical="center" shrinkToFit="1"/>
      <protection hidden="1"/>
    </xf>
    <xf numFmtId="0" fontId="50" fillId="0" borderId="17" xfId="0" applyFont="1" applyBorder="1" applyAlignment="1" applyProtection="1">
      <alignment horizontal="center" vertical="center" shrinkToFit="1"/>
      <protection hidden="1"/>
    </xf>
    <xf numFmtId="0" fontId="50" fillId="0" borderId="23" xfId="0" applyFont="1" applyBorder="1" applyAlignment="1" applyProtection="1">
      <alignment horizontal="center" vertical="center" shrinkToFit="1"/>
      <protection hidden="1"/>
    </xf>
    <xf numFmtId="0" fontId="50" fillId="0" borderId="0" xfId="0" applyFont="1" applyAlignment="1" applyProtection="1">
      <alignment horizontal="center" vertical="center" shrinkToFit="1"/>
      <protection hidden="1"/>
    </xf>
    <xf numFmtId="0" fontId="50" fillId="0" borderId="1" xfId="0" applyFont="1" applyBorder="1" applyAlignment="1" applyProtection="1">
      <alignment horizontal="center" vertical="center" shrinkToFit="1"/>
      <protection hidden="1"/>
    </xf>
    <xf numFmtId="0" fontId="50" fillId="0" borderId="24" xfId="0" applyFont="1" applyBorder="1" applyAlignment="1" applyProtection="1">
      <alignment horizontal="center" vertical="center" shrinkToFit="1"/>
      <protection hidden="1"/>
    </xf>
    <xf numFmtId="0" fontId="50" fillId="0" borderId="25" xfId="0" applyFont="1" applyBorder="1" applyAlignment="1" applyProtection="1">
      <alignment horizontal="center" vertical="center" shrinkToFit="1"/>
      <protection hidden="1"/>
    </xf>
    <xf numFmtId="0" fontId="50" fillId="0" borderId="22" xfId="0" applyFont="1" applyBorder="1" applyAlignment="1" applyProtection="1">
      <alignment horizontal="center" vertical="center" shrinkToFit="1"/>
      <protection hidden="1"/>
    </xf>
    <xf numFmtId="0" fontId="51" fillId="0" borderId="0" xfId="0" applyFont="1" applyAlignment="1" applyProtection="1">
      <alignment horizontal="center" vertical="center"/>
      <protection hidden="1"/>
    </xf>
    <xf numFmtId="1" fontId="52" fillId="0" borderId="15" xfId="0" applyNumberFormat="1" applyFont="1" applyBorder="1" applyAlignment="1" applyProtection="1">
      <alignment horizontal="center" vertical="center" shrinkToFit="1"/>
      <protection hidden="1"/>
    </xf>
    <xf numFmtId="1" fontId="52" fillId="0" borderId="16" xfId="0" applyNumberFormat="1" applyFont="1" applyBorder="1" applyAlignment="1" applyProtection="1">
      <alignment horizontal="center" vertical="center" shrinkToFit="1"/>
      <protection hidden="1"/>
    </xf>
    <xf numFmtId="1" fontId="52" fillId="0" borderId="17" xfId="0" applyNumberFormat="1" applyFont="1" applyBorder="1" applyAlignment="1" applyProtection="1">
      <alignment horizontal="center" vertical="center" shrinkToFit="1"/>
      <protection hidden="1"/>
    </xf>
    <xf numFmtId="1" fontId="52" fillId="0" borderId="23" xfId="0" applyNumberFormat="1" applyFont="1" applyBorder="1" applyAlignment="1" applyProtection="1">
      <alignment horizontal="center" vertical="center" shrinkToFit="1"/>
      <protection hidden="1"/>
    </xf>
    <xf numFmtId="1" fontId="52" fillId="0" borderId="0" xfId="0" applyNumberFormat="1" applyFont="1" applyAlignment="1" applyProtection="1">
      <alignment horizontal="center" vertical="center" shrinkToFit="1"/>
      <protection hidden="1"/>
    </xf>
    <xf numFmtId="1" fontId="52" fillId="0" borderId="1" xfId="0" applyNumberFormat="1" applyFont="1" applyBorder="1" applyAlignment="1" applyProtection="1">
      <alignment horizontal="center" vertical="center" shrinkToFit="1"/>
      <protection hidden="1"/>
    </xf>
    <xf numFmtId="1" fontId="52" fillId="0" borderId="24" xfId="0" applyNumberFormat="1" applyFont="1" applyBorder="1" applyAlignment="1" applyProtection="1">
      <alignment horizontal="center" vertical="center" shrinkToFit="1"/>
      <protection hidden="1"/>
    </xf>
    <xf numFmtId="1" fontId="52" fillId="0" borderId="25" xfId="0" applyNumberFormat="1" applyFont="1" applyBorder="1" applyAlignment="1" applyProtection="1">
      <alignment horizontal="center" vertical="center" shrinkToFit="1"/>
      <protection hidden="1"/>
    </xf>
    <xf numFmtId="1" fontId="52" fillId="0" borderId="22" xfId="0" applyNumberFormat="1" applyFont="1" applyBorder="1" applyAlignment="1" applyProtection="1">
      <alignment horizontal="center" vertical="center" shrinkToFit="1"/>
      <protection hidden="1"/>
    </xf>
    <xf numFmtId="0" fontId="53" fillId="0" borderId="16" xfId="0" applyFont="1" applyBorder="1" applyAlignment="1" applyProtection="1">
      <alignment horizontal="center"/>
      <protection hidden="1"/>
    </xf>
    <xf numFmtId="0" fontId="53" fillId="0" borderId="25" xfId="0" applyFont="1" applyBorder="1" applyAlignment="1" applyProtection="1">
      <alignment horizontal="center"/>
      <protection hidden="1"/>
    </xf>
    <xf numFmtId="0" fontId="51" fillId="0" borderId="0" xfId="0" applyFont="1" applyAlignment="1" applyProtection="1">
      <alignment horizontal="center"/>
      <protection hidden="1"/>
    </xf>
    <xf numFmtId="0" fontId="51" fillId="0" borderId="0" xfId="0" applyFont="1" applyAlignment="1" applyProtection="1">
      <alignment horizontal="left"/>
      <protection hidden="1"/>
    </xf>
    <xf numFmtId="0" fontId="29" fillId="0" borderId="37" xfId="0" applyFont="1" applyBorder="1" applyAlignment="1" applyProtection="1">
      <alignment horizontal="center" vertical="center" wrapText="1"/>
      <protection hidden="1"/>
    </xf>
    <xf numFmtId="0" fontId="29" fillId="0" borderId="30" xfId="0" applyFont="1" applyBorder="1" applyAlignment="1" applyProtection="1">
      <alignment horizontal="center" vertical="center" wrapText="1"/>
      <protection hidden="1"/>
    </xf>
    <xf numFmtId="0" fontId="29" fillId="0" borderId="31" xfId="0" applyFont="1" applyBorder="1" applyAlignment="1" applyProtection="1">
      <alignment horizontal="center" vertical="center" wrapText="1"/>
      <protection hidden="1"/>
    </xf>
    <xf numFmtId="0" fontId="29" fillId="0" borderId="64" xfId="0" applyFont="1" applyBorder="1" applyAlignment="1" applyProtection="1">
      <alignment horizontal="center" vertical="center" wrapText="1"/>
      <protection hidden="1"/>
    </xf>
    <xf numFmtId="0" fontId="29" fillId="0" borderId="0" xfId="0" applyFont="1" applyAlignment="1" applyProtection="1">
      <alignment horizontal="center" vertical="center" wrapText="1"/>
      <protection hidden="1"/>
    </xf>
    <xf numFmtId="0" fontId="29" fillId="0" borderId="32" xfId="0" applyFont="1" applyBorder="1" applyAlignment="1" applyProtection="1">
      <alignment horizontal="center" vertical="center" wrapText="1"/>
      <protection hidden="1"/>
    </xf>
    <xf numFmtId="0" fontId="29" fillId="0" borderId="20" xfId="0" applyFont="1" applyBorder="1" applyAlignment="1" applyProtection="1">
      <alignment horizontal="center" vertical="center" wrapText="1"/>
      <protection hidden="1"/>
    </xf>
    <xf numFmtId="0" fontId="29" fillId="0" borderId="27" xfId="0" applyFont="1" applyBorder="1" applyAlignment="1" applyProtection="1">
      <alignment horizontal="center" vertical="center" wrapText="1"/>
      <protection hidden="1"/>
    </xf>
    <xf numFmtId="0" fontId="29" fillId="0" borderId="33" xfId="0" applyFont="1" applyBorder="1" applyAlignment="1" applyProtection="1">
      <alignment horizontal="center" vertical="center" wrapText="1"/>
      <protection hidden="1"/>
    </xf>
    <xf numFmtId="0" fontId="30" fillId="0" borderId="0" xfId="0" applyFont="1" applyAlignment="1">
      <alignment horizontal="center"/>
    </xf>
    <xf numFmtId="0" fontId="0" fillId="0" borderId="0" xfId="0" applyAlignment="1" applyProtection="1">
      <alignment horizontal="left"/>
      <protection hidden="1"/>
    </xf>
    <xf numFmtId="0" fontId="42" fillId="0" borderId="0" xfId="0" applyFont="1" applyAlignment="1" applyProtection="1">
      <alignment horizontal="center" vertical="center"/>
      <protection hidden="1"/>
    </xf>
    <xf numFmtId="0" fontId="12" fillId="0" borderId="37" xfId="0" applyFont="1" applyBorder="1" applyAlignment="1" applyProtection="1">
      <alignment horizontal="center" vertical="center" wrapText="1"/>
      <protection locked="0" hidden="1"/>
    </xf>
    <xf numFmtId="0" fontId="15" fillId="0" borderId="30" xfId="0" applyFont="1" applyBorder="1" applyAlignment="1" applyProtection="1">
      <alignment horizontal="center" vertical="center" wrapText="1"/>
      <protection locked="0" hidden="1"/>
    </xf>
    <xf numFmtId="0" fontId="15" fillId="0" borderId="31" xfId="0" applyFont="1" applyBorder="1" applyAlignment="1" applyProtection="1">
      <alignment horizontal="center" vertical="center" wrapText="1"/>
      <protection locked="0" hidden="1"/>
    </xf>
    <xf numFmtId="0" fontId="15" fillId="0" borderId="64" xfId="0" applyFont="1" applyBorder="1" applyAlignment="1" applyProtection="1">
      <alignment horizontal="center" vertical="center" wrapText="1"/>
      <protection locked="0" hidden="1"/>
    </xf>
    <xf numFmtId="0" fontId="15" fillId="0" borderId="0" xfId="0" applyFont="1" applyAlignment="1" applyProtection="1">
      <alignment horizontal="center" vertical="center" wrapText="1"/>
      <protection locked="0" hidden="1"/>
    </xf>
    <xf numFmtId="0" fontId="15" fillId="0" borderId="32" xfId="0" applyFont="1" applyBorder="1" applyAlignment="1" applyProtection="1">
      <alignment horizontal="center" vertical="center" wrapText="1"/>
      <protection locked="0" hidden="1"/>
    </xf>
    <xf numFmtId="0" fontId="15" fillId="0" borderId="20" xfId="0" applyFont="1" applyBorder="1" applyAlignment="1" applyProtection="1">
      <alignment horizontal="center" vertical="center" wrapText="1"/>
      <protection locked="0" hidden="1"/>
    </xf>
    <xf numFmtId="0" fontId="15" fillId="0" borderId="27" xfId="0" applyFont="1" applyBorder="1" applyAlignment="1" applyProtection="1">
      <alignment horizontal="center" vertical="center" wrapText="1"/>
      <protection locked="0" hidden="1"/>
    </xf>
    <xf numFmtId="0" fontId="15" fillId="0" borderId="33" xfId="0" applyFont="1" applyBorder="1" applyAlignment="1" applyProtection="1">
      <alignment horizontal="center" vertical="center" wrapText="1"/>
      <protection locked="0" hidden="1"/>
    </xf>
    <xf numFmtId="0" fontId="27" fillId="0" borderId="36" xfId="0" applyFont="1" applyBorder="1" applyAlignment="1" applyProtection="1">
      <alignment horizontal="left" vertical="center" indent="1"/>
      <protection hidden="1"/>
    </xf>
    <xf numFmtId="0" fontId="27" fillId="0" borderId="34" xfId="0" applyFont="1" applyBorder="1" applyAlignment="1" applyProtection="1">
      <alignment horizontal="left" vertical="center" indent="1"/>
      <protection hidden="1"/>
    </xf>
    <xf numFmtId="0" fontId="27" fillId="0" borderId="0" xfId="0" applyFont="1" applyAlignment="1" applyProtection="1">
      <alignment horizontal="left"/>
      <protection hidden="1"/>
    </xf>
    <xf numFmtId="0" fontId="27" fillId="0" borderId="64" xfId="0" applyFont="1" applyBorder="1" applyAlignment="1" applyProtection="1">
      <alignment horizontal="left"/>
      <protection hidden="1"/>
    </xf>
    <xf numFmtId="0" fontId="27" fillId="0" borderId="20" xfId="0" applyFont="1" applyBorder="1" applyAlignment="1" applyProtection="1">
      <alignment horizontal="left"/>
      <protection hidden="1"/>
    </xf>
    <xf numFmtId="0" fontId="27" fillId="0" borderId="27" xfId="0" applyFont="1" applyBorder="1" applyAlignment="1" applyProtection="1">
      <alignment horizontal="left"/>
      <protection hidden="1"/>
    </xf>
    <xf numFmtId="0" fontId="27" fillId="0" borderId="37" xfId="0" applyFont="1" applyBorder="1" applyAlignment="1" applyProtection="1">
      <alignment horizontal="left"/>
      <protection hidden="1"/>
    </xf>
    <xf numFmtId="0" fontId="27" fillId="0" borderId="30" xfId="0" applyFont="1" applyBorder="1" applyAlignment="1" applyProtection="1">
      <alignment horizontal="left"/>
      <protection hidden="1"/>
    </xf>
    <xf numFmtId="0" fontId="12" fillId="0" borderId="0" xfId="0" applyFont="1" applyAlignment="1" applyProtection="1">
      <alignment horizontal="center"/>
      <protection hidden="1"/>
    </xf>
  </cellXfs>
  <cellStyles count="8">
    <cellStyle name="Čárka" xfId="7" builtinId="3"/>
    <cellStyle name="Excel Built-in Normal" xfId="1" xr:uid="{00000000-0005-0000-0000-000000000000}"/>
    <cellStyle name="Excel Built-in Normal 2" xfId="6" xr:uid="{134160E8-7ACF-4C72-9F1B-31014CECD1A4}"/>
    <cellStyle name="Hypertextový odkaz" xfId="2" builtinId="8"/>
    <cellStyle name="Normal_NOARK LOGISTIC FILE" xfId="3" xr:uid="{00000000-0005-0000-0000-000002000000}"/>
    <cellStyle name="Normální" xfId="0" builtinId="0"/>
    <cellStyle name="Normální 2" xfId="4" xr:uid="{00000000-0005-0000-0000-000004000000}"/>
    <cellStyle name="Normální 3" xfId="5" xr:uid="{00000000-0005-0000-0000-000005000000}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161925</xdr:colOff>
      <xdr:row>4</xdr:row>
      <xdr:rowOff>66675</xdr:rowOff>
    </xdr:from>
    <xdr:to>
      <xdr:col>11</xdr:col>
      <xdr:colOff>266700</xdr:colOff>
      <xdr:row>8</xdr:row>
      <xdr:rowOff>76200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A8A1D0D5-9C4A-4FCD-9CD8-B3ACDF5C7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5950" y="679450"/>
          <a:ext cx="10160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3"/>
  <dimension ref="A1:AA93"/>
  <sheetViews>
    <sheetView zoomScale="85" zoomScaleNormal="85" workbookViewId="0">
      <selection activeCell="B7" sqref="B7"/>
    </sheetView>
  </sheetViews>
  <sheetFormatPr defaultRowHeight="15" x14ac:dyDescent="0.25"/>
  <cols>
    <col min="1" max="1" width="14.5703125" bestFit="1" customWidth="1"/>
    <col min="2" max="2" width="54" customWidth="1"/>
    <col min="3" max="3" width="11.5703125" customWidth="1"/>
    <col min="4" max="4" width="57.85546875" customWidth="1"/>
    <col min="5" max="5" width="22.85546875" bestFit="1" customWidth="1"/>
    <col min="6" max="6" width="11.5703125" bestFit="1" customWidth="1"/>
    <col min="7" max="7" width="17.140625" customWidth="1"/>
    <col min="8" max="11" width="12.7109375" customWidth="1"/>
    <col min="12" max="12" width="11.7109375" bestFit="1" customWidth="1"/>
    <col min="13" max="13" width="12.85546875" customWidth="1"/>
    <col min="14" max="14" width="13.42578125" customWidth="1"/>
    <col min="15" max="15" width="11.7109375" bestFit="1" customWidth="1"/>
    <col min="16" max="16" width="11.42578125" customWidth="1"/>
    <col min="17" max="17" width="12.28515625" customWidth="1"/>
    <col min="18" max="18" width="20.5703125" customWidth="1"/>
    <col min="19" max="21" width="12.28515625" customWidth="1"/>
    <col min="24" max="24" width="50.85546875" bestFit="1" customWidth="1"/>
    <col min="25" max="25" width="18.5703125" bestFit="1" customWidth="1"/>
    <col min="26" max="26" width="7.7109375" customWidth="1"/>
    <col min="28" max="29" width="11.85546875" bestFit="1" customWidth="1"/>
  </cols>
  <sheetData>
    <row r="1" spans="1:27" x14ac:dyDescent="0.25">
      <c r="D1" t="s">
        <v>183</v>
      </c>
    </row>
    <row r="2" spans="1:27" x14ac:dyDescent="0.25">
      <c r="Z2" t="s">
        <v>342</v>
      </c>
      <c r="AA2" t="s">
        <v>343</v>
      </c>
    </row>
    <row r="3" spans="1:27" x14ac:dyDescent="0.25">
      <c r="A3" t="s">
        <v>74</v>
      </c>
      <c r="B3" s="111" t="s">
        <v>5</v>
      </c>
      <c r="C3" t="s">
        <v>357</v>
      </c>
      <c r="D3" t="s">
        <v>153</v>
      </c>
      <c r="F3" t="s">
        <v>358</v>
      </c>
      <c r="H3" s="12" t="s">
        <v>159</v>
      </c>
      <c r="I3" s="12" t="s">
        <v>161</v>
      </c>
      <c r="J3" s="12" t="s">
        <v>350</v>
      </c>
      <c r="K3" s="12" t="s">
        <v>167</v>
      </c>
      <c r="L3" s="12" t="s">
        <v>169</v>
      </c>
      <c r="M3" s="12" t="s">
        <v>359</v>
      </c>
      <c r="N3" s="12" t="s">
        <v>36</v>
      </c>
      <c r="X3" s="78" t="s">
        <v>270</v>
      </c>
      <c r="Y3" s="78" t="s">
        <v>157</v>
      </c>
      <c r="Z3" s="78">
        <v>600</v>
      </c>
      <c r="AA3" s="78">
        <v>2</v>
      </c>
    </row>
    <row r="4" spans="1:27" x14ac:dyDescent="0.25">
      <c r="A4" t="s">
        <v>369</v>
      </c>
      <c r="B4" s="111" t="str">
        <f>"F-05-"&amp;S18&amp;"-1A8-"&amp;L4*M4&amp;"/"&amp;K4&amp;"-"&amp;S19&amp;"/"&amp;AA6&amp;"/"&amp;"12-S"</f>
        <v>F-05-1-1A8-16/1000-1/3/12-S</v>
      </c>
      <c r="C4">
        <f>F4*16</f>
        <v>16</v>
      </c>
      <c r="D4" t="s">
        <v>400</v>
      </c>
      <c r="E4" s="173" t="str">
        <f>IFERROR(INDEX(A4:A18,MATCH(Zadání!B5,'Zdrojová data'!D4:D18,0)),"chyba")</f>
        <v>FV Box BK05 01</v>
      </c>
      <c r="F4">
        <v>1</v>
      </c>
      <c r="G4">
        <v>2</v>
      </c>
      <c r="H4" s="11" t="str">
        <f>VLOOKUP($E$4,$E$23:$U$39,2,0)</f>
        <v>BK050201--</v>
      </c>
      <c r="I4">
        <f>VLOOKUP($E$4,$E$41:$U$57,2,0)</f>
        <v>1</v>
      </c>
      <c r="J4">
        <f>I4</f>
        <v>1</v>
      </c>
      <c r="K4" s="172">
        <f>Z6</f>
        <v>1000</v>
      </c>
      <c r="L4" s="172">
        <f>VLOOKUP($E$4,$E$59:$G$75,3,0)</f>
        <v>16</v>
      </c>
      <c r="M4">
        <f>Zadání!C27</f>
        <v>1</v>
      </c>
      <c r="N4" t="str">
        <f t="shared" ref="N4:N19" si="0">VLOOKUP($E$4,$E$77:$U$93,G4,0)</f>
        <v>Rozvodnice nástěnná, 1x8 mod.,IP65, průhledné dveře</v>
      </c>
      <c r="X4" s="78" t="s">
        <v>272</v>
      </c>
      <c r="Y4" s="78" t="s">
        <v>150</v>
      </c>
      <c r="Z4" s="78">
        <v>1000</v>
      </c>
      <c r="AA4" s="78">
        <v>2</v>
      </c>
    </row>
    <row r="5" spans="1:27" x14ac:dyDescent="0.25">
      <c r="A5" t="s">
        <v>370</v>
      </c>
      <c r="B5" s="111" t="str">
        <f>"F-05-"&amp;S18&amp;"-1A12-"&amp;L4*M4&amp;"/"&amp;K4&amp;"-"&amp;S19&amp;"/"&amp;AA6&amp;"/"&amp;"12-S"</f>
        <v>F-05-1-1A12-16/1000-1/3/12-S</v>
      </c>
      <c r="C5">
        <f t="shared" ref="C5:C12" si="1">F5*16</f>
        <v>32</v>
      </c>
      <c r="D5" t="s">
        <v>387</v>
      </c>
      <c r="E5" t="str">
        <f>IF(E4=A4,A4,IF(E4=A5,A5,IF(E4=A6,A6,IF(E4=A7,A7,IF(E4=A8,A8,IF(E4=A9,A9,IF(E4=A10,A10,IF(E4=A11,A11,IF(E4=A12,A5,IF(E4=A13,A7,IF(E4=A14,A9,IF(E4=A15,A15,IF(E4=A16,A16,IF(E4=A17,A17,""))))))))))))))</f>
        <v>FV Box BK05 01</v>
      </c>
      <c r="F5">
        <v>2</v>
      </c>
      <c r="G5">
        <v>3</v>
      </c>
      <c r="H5" s="11" t="str">
        <f>VLOOKUP($E$4,$E$23:$U$39,3,0)</f>
        <v>IS01111100</v>
      </c>
      <c r="I5">
        <f>VLOOKUP($E$4,$E$41:$U$57,3,0)</f>
        <v>1</v>
      </c>
      <c r="J5" s="233">
        <f>Zadání!C28</f>
        <v>1</v>
      </c>
      <c r="N5" t="str">
        <f t="shared" si="0"/>
        <v>Svodič přepětí pro fotovoltaiku T1/2, 12,5 kA, modulový</v>
      </c>
      <c r="R5" s="12" t="s">
        <v>253</v>
      </c>
      <c r="S5" s="234" t="str">
        <f>VLOOKUP($E$4,$E$59:$J$75,6,0)</f>
        <v>65/20</v>
      </c>
      <c r="X5" s="78" t="s">
        <v>271</v>
      </c>
      <c r="Y5" s="78" t="s">
        <v>149</v>
      </c>
      <c r="Z5" s="78">
        <v>1000</v>
      </c>
      <c r="AA5" s="78">
        <v>3</v>
      </c>
    </row>
    <row r="6" spans="1:27" x14ac:dyDescent="0.25">
      <c r="A6" t="s">
        <v>371</v>
      </c>
      <c r="B6" s="111" t="str">
        <f>"F-05-"&amp;S18&amp;"-1A18-"&amp;L4*M4&amp;"/"&amp;K4&amp;"-"&amp;S19&amp;"/"&amp;AA6&amp;"/"&amp;"12-S"</f>
        <v>F-05-1-1A18-16/1000-1/3/12-S</v>
      </c>
      <c r="C6">
        <v>50</v>
      </c>
      <c r="D6" t="s">
        <v>388</v>
      </c>
      <c r="F6">
        <v>3</v>
      </c>
      <c r="G6">
        <v>4</v>
      </c>
      <c r="H6" s="11" t="str">
        <f>VLOOKUP($E$4,$E$23:$U$39,4,0)</f>
        <v>BK050097--</v>
      </c>
      <c r="I6">
        <f>VLOOKUP($E$4,$E$41:$U$57,4,0)</f>
        <v>1</v>
      </c>
      <c r="J6">
        <f>I6</f>
        <v>1</v>
      </c>
      <c r="N6" t="str">
        <f t="shared" si="0"/>
        <v>Zámek pro rozvodnice BK05 , krytí IP65</v>
      </c>
      <c r="R6" s="12" t="s">
        <v>254</v>
      </c>
      <c r="S6" s="234" t="str">
        <f>VLOOKUP($E$4,$E$59:$K$75,7,0)</f>
        <v>IK 08</v>
      </c>
      <c r="Y6" s="172" t="str">
        <f>VLOOKUP(Zadání!C26,'Zdrojová data'!X3:Y5,2,0)</f>
        <v>IS01111100</v>
      </c>
      <c r="Z6" s="172">
        <f>VLOOKUP(Zadání!C26,'Zdrojová data'!X3:Z5,3,0)</f>
        <v>1000</v>
      </c>
      <c r="AA6" s="172">
        <f>VLOOKUP(Zadání!C26,'Zdrojová data'!X3:AA5,4,0)</f>
        <v>3</v>
      </c>
    </row>
    <row r="7" spans="1:27" x14ac:dyDescent="0.25">
      <c r="A7" t="s">
        <v>372</v>
      </c>
      <c r="B7" s="111" t="str">
        <f>"F-05-"&amp;S18&amp;"-2A12-"&amp;L4*M4&amp;"/"&amp;K4&amp;"-"&amp;S19&amp;"/"&amp;AA6&amp;"/"&amp;"12-S"</f>
        <v>F-05-1-2A12-16/1000-1/3/12-S</v>
      </c>
      <c r="C7">
        <f t="shared" si="1"/>
        <v>64</v>
      </c>
      <c r="D7" t="s">
        <v>389</v>
      </c>
      <c r="F7">
        <v>4</v>
      </c>
      <c r="G7">
        <v>5</v>
      </c>
      <c r="H7" t="str">
        <f>VLOOKUP($E$4,$E$23:$U$39,5,0)</f>
        <v>IK111010--</v>
      </c>
      <c r="I7">
        <f>VLOOKUP($E$4,$E$41:$U$57,5,0)</f>
        <v>1</v>
      </c>
      <c r="J7">
        <f>M4</f>
        <v>1</v>
      </c>
      <c r="N7" t="str">
        <f t="shared" si="0"/>
        <v>Řadová svorka CBC.10 modrá, 10mm²</v>
      </c>
      <c r="R7" s="12" t="s">
        <v>249</v>
      </c>
      <c r="S7" s="234">
        <f>VLOOKUP($E$4,$E$59:$L$75,8,0)</f>
        <v>0.8</v>
      </c>
      <c r="X7" s="11"/>
      <c r="Y7" s="11"/>
      <c r="Z7" s="11"/>
    </row>
    <row r="8" spans="1:27" x14ac:dyDescent="0.25">
      <c r="A8" t="s">
        <v>373</v>
      </c>
      <c r="B8" s="111" t="str">
        <f>"F-05-"&amp;S18&amp;"-3A12-"&amp;L4*M4&amp;"/"&amp;K4&amp;"-"&amp;S17&amp;"/"&amp;AA6&amp;"/"&amp;"12-S"</f>
        <v>F-05-1-3A12-16/1000-1/3/12-S</v>
      </c>
      <c r="C8">
        <f t="shared" si="1"/>
        <v>80</v>
      </c>
      <c r="D8" t="s">
        <v>390</v>
      </c>
      <c r="F8">
        <v>5</v>
      </c>
      <c r="G8">
        <v>6</v>
      </c>
      <c r="H8" t="str">
        <f>VLOOKUP($E$4,$E$23:$U$39,6,0)</f>
        <v>IK110010--</v>
      </c>
      <c r="I8">
        <f>VLOOKUP($E$4,$E$41:$U$57,6,0)</f>
        <v>1</v>
      </c>
      <c r="J8">
        <f>M4</f>
        <v>1</v>
      </c>
      <c r="N8" t="str">
        <f t="shared" si="0"/>
        <v>Řadová svorka CBC.10 šedá, 10mm²</v>
      </c>
      <c r="R8" s="12" t="s">
        <v>256</v>
      </c>
      <c r="S8" s="234">
        <f>VLOOKUP($E$4,$E$59:$M$75,9,0)</f>
        <v>0</v>
      </c>
      <c r="X8" s="12" t="s">
        <v>340</v>
      </c>
      <c r="Y8" s="12" t="s">
        <v>332</v>
      </c>
      <c r="Z8" s="78">
        <v>8</v>
      </c>
      <c r="AA8" s="255"/>
    </row>
    <row r="9" spans="1:27" x14ac:dyDescent="0.25">
      <c r="A9" t="s">
        <v>374</v>
      </c>
      <c r="B9" s="111" t="str">
        <f>"F-05-"&amp;S18&amp;"-3A12-"&amp;L4*M4&amp;"/"&amp;K4&amp;"-"&amp;S19&amp;"/"&amp;AA6&amp;"/"&amp;"12-S"</f>
        <v>F-05-1-3A12-16/1000-1/3/12-S</v>
      </c>
      <c r="C9">
        <f t="shared" si="1"/>
        <v>96</v>
      </c>
      <c r="D9" t="s">
        <v>391</v>
      </c>
      <c r="F9">
        <v>6</v>
      </c>
      <c r="G9">
        <v>7</v>
      </c>
      <c r="H9" s="11" t="str">
        <f>VLOOKUP($E$4,$E$23:$U$39,7,0)</f>
        <v>IK110210--</v>
      </c>
      <c r="I9">
        <f>VLOOKUP($E$4,$E$41:$U$57,7,0)</f>
        <v>2</v>
      </c>
      <c r="J9">
        <f>M4*2</f>
        <v>2</v>
      </c>
      <c r="N9" t="str">
        <f t="shared" si="0"/>
        <v>Koncová deska CBC 2,5-10mm², šedá</v>
      </c>
      <c r="R9" s="12" t="s">
        <v>257</v>
      </c>
      <c r="S9" s="234">
        <f>VLOOKUP($E$4,$E$59:$N$75,10,0)</f>
        <v>11</v>
      </c>
      <c r="X9" s="12" t="s">
        <v>339</v>
      </c>
      <c r="Y9" s="12" t="s">
        <v>331</v>
      </c>
      <c r="Z9" s="78">
        <v>10</v>
      </c>
      <c r="AA9" s="234"/>
    </row>
    <row r="10" spans="1:27" x14ac:dyDescent="0.25">
      <c r="A10" t="s">
        <v>375</v>
      </c>
      <c r="B10" s="111" t="str">
        <f>"F-05-"&amp;S18&amp;"-3A18-"&amp;L4*M4&amp;"/"&amp;K4&amp;"-"&amp;S19&amp;"/"&amp;AA6&amp;"/"&amp;"12-S"</f>
        <v>F-05-1-3A18-16/1000-1/3/12-S</v>
      </c>
      <c r="C10">
        <f t="shared" si="1"/>
        <v>112</v>
      </c>
      <c r="D10" t="s">
        <v>392</v>
      </c>
      <c r="F10">
        <v>7</v>
      </c>
      <c r="G10">
        <v>8</v>
      </c>
      <c r="H10" t="str">
        <f>VLOOKUP($E$4,$E$23:$U$39,8,0)</f>
        <v>M270020---</v>
      </c>
      <c r="I10">
        <f>VLOOKUP($E$4,$E$41:$U$57,8,0)</f>
        <v>5</v>
      </c>
      <c r="J10">
        <f>J11*2+1</f>
        <v>5</v>
      </c>
      <c r="N10" t="str">
        <f t="shared" si="0"/>
        <v>Vývodka M20x1,5 bez matice, 6-12 mm, RAL 7035</v>
      </c>
      <c r="R10" s="12" t="s">
        <v>258</v>
      </c>
      <c r="S10" s="234">
        <f>VLOOKUP($E$4,$E$59:$O$75,11,0)</f>
        <v>0</v>
      </c>
      <c r="X10" s="12" t="s">
        <v>338</v>
      </c>
      <c r="Y10" s="12" t="s">
        <v>330</v>
      </c>
      <c r="Z10" s="78">
        <v>12</v>
      </c>
      <c r="AA10" s="234"/>
    </row>
    <row r="11" spans="1:27" x14ac:dyDescent="0.25">
      <c r="A11" t="s">
        <v>376</v>
      </c>
      <c r="B11" s="111" t="str">
        <f>"F-05-"&amp;S18&amp;"-3A18-"&amp;L4*M4&amp;"/"&amp;K4&amp;"-"&amp;S19&amp;"/"&amp;AA6&amp;"/"&amp;"12-S"</f>
        <v>F-05-1-3A18-16/1000-1/3/12-S</v>
      </c>
      <c r="C11">
        <f t="shared" si="1"/>
        <v>128</v>
      </c>
      <c r="D11" t="s">
        <v>393</v>
      </c>
      <c r="F11">
        <v>8</v>
      </c>
      <c r="G11">
        <v>9</v>
      </c>
      <c r="H11" t="str">
        <f>VLOOKUP($E$4,$E$23:$U$39,9,0)</f>
        <v>ISV10016--</v>
      </c>
      <c r="I11">
        <f>VLOOKUP($E$4,$E$41:$U$57,9,0)</f>
        <v>2</v>
      </c>
      <c r="J11">
        <f>J12*2</f>
        <v>2</v>
      </c>
      <c r="N11" t="str">
        <f t="shared" si="0"/>
        <v>Pojistka 10x38, 16A, gPV</v>
      </c>
      <c r="R11" s="12" t="s">
        <v>259</v>
      </c>
      <c r="S11" s="234">
        <f>VLOOKUP($E$4,$E$59:$P$75,12,0)</f>
        <v>35</v>
      </c>
      <c r="X11" s="12" t="s">
        <v>337</v>
      </c>
      <c r="Y11" s="12" t="s">
        <v>98</v>
      </c>
      <c r="Z11" s="78">
        <v>16</v>
      </c>
      <c r="AA11" s="234"/>
    </row>
    <row r="12" spans="1:27" x14ac:dyDescent="0.25">
      <c r="A12" t="s">
        <v>377</v>
      </c>
      <c r="B12" s="111" t="str">
        <f>"F-MI-"&amp;S18&amp;"-2A12-"&amp;L4*M4&amp;"/"&amp;K4&amp;"-"&amp;S19&amp;"/"&amp;AA6&amp;"/"&amp;"12-S"</f>
        <v>F-MI-1-2A12-16/1000-1/3/12-S</v>
      </c>
      <c r="C12">
        <f t="shared" si="1"/>
        <v>32</v>
      </c>
      <c r="D12" t="s">
        <v>394</v>
      </c>
      <c r="F12">
        <v>2</v>
      </c>
      <c r="G12">
        <v>10</v>
      </c>
      <c r="H12" t="str">
        <f>VLOOKUP($E$4,$E$23:$U$39,10,0)</f>
        <v>IS506122-A</v>
      </c>
      <c r="I12">
        <f>VLOOKUP($E$4,$E$41:$U$57,10,0)</f>
        <v>1</v>
      </c>
      <c r="J12" s="233">
        <f>Zadání!C27</f>
        <v>1</v>
      </c>
      <c r="N12" t="str">
        <f t="shared" si="0"/>
        <v>Pojistkový odpojovač 10x38mm, 2pólový, 25A, fotovoltaika</v>
      </c>
      <c r="R12" s="12" t="s">
        <v>260</v>
      </c>
      <c r="S12" s="234">
        <f>VLOOKUP($E$4,$E$59:$Q$75,13,0)</f>
        <v>60</v>
      </c>
      <c r="X12" s="12" t="s">
        <v>384</v>
      </c>
      <c r="Y12" s="12" t="s">
        <v>385</v>
      </c>
      <c r="Z12" s="78">
        <v>20</v>
      </c>
      <c r="AA12" s="234"/>
    </row>
    <row r="13" spans="1:27" x14ac:dyDescent="0.25">
      <c r="A13" t="s">
        <v>378</v>
      </c>
      <c r="B13" s="111" t="str">
        <f>"F-MI-"&amp;S18&amp;"-2A12-"&amp;L4*M4&amp;"/"&amp;K4&amp;"-"&amp;S19&amp;"/"&amp;AA6&amp;"/"&amp;"12-S"</f>
        <v>F-MI-1-2A12-16/1000-1/3/12-S</v>
      </c>
      <c r="C13">
        <f t="shared" ref="C13:C17" si="2">F13*16</f>
        <v>64</v>
      </c>
      <c r="D13" t="s">
        <v>395</v>
      </c>
      <c r="F13">
        <v>4</v>
      </c>
      <c r="G13">
        <v>11</v>
      </c>
      <c r="H13" s="11" t="str">
        <f>VLOOKUP($E$4,$E$23:$U$39,11,0)</f>
        <v>M271020---</v>
      </c>
      <c r="I13" s="235">
        <f>VLOOKUP($E$4,$E$41:$U$57,11,0)</f>
        <v>5</v>
      </c>
      <c r="J13">
        <f>J10</f>
        <v>5</v>
      </c>
      <c r="N13" t="str">
        <f t="shared" si="0"/>
        <v>Matice M20X1.5</v>
      </c>
      <c r="R13" s="12" t="s">
        <v>261</v>
      </c>
      <c r="S13">
        <f>VLOOKUP($E$4,$E$59:$R$75,14,0)</f>
        <v>1</v>
      </c>
      <c r="X13" s="12" t="s">
        <v>386</v>
      </c>
      <c r="Y13" s="12" t="s">
        <v>406</v>
      </c>
      <c r="Z13" s="78">
        <v>25</v>
      </c>
      <c r="AA13" s="234"/>
    </row>
    <row r="14" spans="1:27" x14ac:dyDescent="0.25">
      <c r="A14" t="s">
        <v>379</v>
      </c>
      <c r="B14" s="111" t="str">
        <f>"F-MI-"&amp;S18&amp;"-3A18-"&amp;L4*M4&amp;"/"&amp;K4&amp;"-"&amp;S19&amp;"/"&amp;AA6&amp;"/"&amp;"12-S"</f>
        <v>F-MI-1-3A18-16/1000-1/3/12-S</v>
      </c>
      <c r="C14">
        <f t="shared" si="2"/>
        <v>96</v>
      </c>
      <c r="D14" t="s">
        <v>396</v>
      </c>
      <c r="F14">
        <v>6</v>
      </c>
      <c r="G14">
        <v>12</v>
      </c>
      <c r="H14" s="11" t="str">
        <f>VLOOKUP($E$4,$E$23:$U$39,12,0)</f>
        <v>IK123000--</v>
      </c>
      <c r="I14" s="11">
        <f>VLOOKUP($E$4,$E$41:$U$57,12,0)</f>
        <v>2</v>
      </c>
      <c r="J14">
        <f t="shared" ref="J14:J19" si="3">I14</f>
        <v>2</v>
      </c>
      <c r="N14" t="str">
        <f t="shared" si="0"/>
        <v>Koncová svorka TS 35</v>
      </c>
      <c r="R14" s="12" t="s">
        <v>28</v>
      </c>
      <c r="S14">
        <f>VLOOKUP($E$4,$E$59:$S$75,15,0)</f>
        <v>2.1</v>
      </c>
      <c r="Y14" s="172" t="str">
        <f>VLOOKUP(Zadání!C25,'Zdrojová data'!X8:Y13,2,0)</f>
        <v>ISV10016--</v>
      </c>
      <c r="Z14" s="172">
        <f>VLOOKUP(Zadání!C25,'Zdrojová data'!X8:Z13,3,0)</f>
        <v>16</v>
      </c>
    </row>
    <row r="15" spans="1:27" x14ac:dyDescent="0.25">
      <c r="A15" t="s">
        <v>380</v>
      </c>
      <c r="B15" s="111" t="str">
        <f>"F-MI-"&amp;S18&amp;"-3A18-"&amp;L4*M4&amp;"/"&amp;K4&amp;"-"&amp;S19&amp;"/"&amp;AA6&amp;"/"&amp;"12-S"</f>
        <v>F-MI-1-3A18-16/1000-1/3/12-S</v>
      </c>
      <c r="C15">
        <f t="shared" si="2"/>
        <v>144</v>
      </c>
      <c r="D15" t="s">
        <v>397</v>
      </c>
      <c r="F15">
        <v>9</v>
      </c>
      <c r="G15">
        <v>13</v>
      </c>
      <c r="H15" s="11" t="str">
        <f>VLOOKUP($E$4,$E$23:$U$39,13,0)</f>
        <v>CSFV023301</v>
      </c>
      <c r="I15" s="11">
        <f>VLOOKUP($E$4,$E$41:$U$57,13,0)</f>
        <v>1</v>
      </c>
      <c r="J15">
        <f t="shared" si="3"/>
        <v>1</v>
      </c>
      <c r="N15" t="str">
        <f t="shared" si="0"/>
        <v>Samolepka PV symbol na fotovoltaiku</v>
      </c>
      <c r="R15" s="12" t="s">
        <v>264</v>
      </c>
      <c r="S15" t="str">
        <f>VLOOKUP($E$4,$E$59:$T$75,16,0)</f>
        <v>BK050</v>
      </c>
      <c r="Y15" s="235" t="str">
        <f>IF(VLOOKUP('Zdrojová data'!E4,A4:C17,3,0)&gt;=(Z14*J12),"","Překročený max. proud. Změnte pojistku, typ skříně nebo počet odpojovačů.")</f>
        <v/>
      </c>
    </row>
    <row r="16" spans="1:27" x14ac:dyDescent="0.25">
      <c r="A16" t="s">
        <v>381</v>
      </c>
      <c r="B16" s="111" t="str">
        <f>"F-MI-"&amp;S18&amp;"-5A29-"&amp;L4*M4&amp;"/"&amp;K4&amp;"-"&amp;S19&amp;"/"&amp;AA6&amp;"/"&amp;"12-S"</f>
        <v>F-MI-1-5A29-16/1000-1/3/12-S</v>
      </c>
      <c r="C16">
        <f t="shared" si="2"/>
        <v>192</v>
      </c>
      <c r="D16" t="s">
        <v>398</v>
      </c>
      <c r="F16">
        <v>12</v>
      </c>
      <c r="G16">
        <v>14</v>
      </c>
      <c r="H16">
        <f>VLOOKUP($E$4,$E$23:$U$39,14,0)</f>
        <v>0</v>
      </c>
      <c r="I16">
        <f>VLOOKUP($E$4,$E$41:$U$57,14,0)</f>
        <v>0</v>
      </c>
      <c r="J16">
        <f t="shared" si="3"/>
        <v>0</v>
      </c>
      <c r="N16">
        <f>VLOOKUP($E$4,$E$77:$U$93,G16,0)</f>
        <v>0</v>
      </c>
      <c r="R16" s="12" t="s">
        <v>5</v>
      </c>
      <c r="S16" t="str">
        <f>VLOOKUP($E$4,$A$4:$B$17,2,0)</f>
        <v>F-05-1-1A8-16/1000-1/3/12-S</v>
      </c>
      <c r="X16" s="12" t="s">
        <v>403</v>
      </c>
      <c r="Y16" s="254" t="str">
        <f>IF(Z14&gt;20,A64,A47)</f>
        <v>IS506122-A</v>
      </c>
    </row>
    <row r="17" spans="1:24" x14ac:dyDescent="0.25">
      <c r="A17" t="s">
        <v>382</v>
      </c>
      <c r="B17" s="111" t="str">
        <f>"F-MI-"&amp;S18&amp;"-5A29-"&amp;L4*M4&amp;"/"&amp;K4&amp;"-"&amp;S19&amp;"/"&amp;AA6&amp;"/"&amp;"12-S"</f>
        <v>F-MI-1-5A29-16/1000-1/3/12-S</v>
      </c>
      <c r="C17">
        <f t="shared" si="2"/>
        <v>256</v>
      </c>
      <c r="D17" t="s">
        <v>399</v>
      </c>
      <c r="F17">
        <v>16</v>
      </c>
      <c r="G17">
        <v>15</v>
      </c>
      <c r="H17">
        <f>VLOOKUP($E$4,$E$23:$U$39,15,0)</f>
        <v>0</v>
      </c>
      <c r="I17">
        <f>VLOOKUP($E$4,$E$41:$U$57,15,0)</f>
        <v>0</v>
      </c>
      <c r="J17">
        <f t="shared" si="3"/>
        <v>0</v>
      </c>
      <c r="N17">
        <f t="shared" si="0"/>
        <v>0</v>
      </c>
      <c r="R17" s="12" t="s">
        <v>349</v>
      </c>
      <c r="S17" s="232">
        <f>VLOOKUP($E$4,$E$41:$U$57,3,0)</f>
        <v>1</v>
      </c>
    </row>
    <row r="18" spans="1:24" x14ac:dyDescent="0.25">
      <c r="B18" s="111"/>
      <c r="G18">
        <v>16</v>
      </c>
      <c r="H18">
        <f>VLOOKUP($E$4,$E$23:$U$39,16,0)</f>
        <v>0</v>
      </c>
      <c r="I18">
        <f>VLOOKUP($E$4,$E$41:$U$57,16,0)</f>
        <v>0</v>
      </c>
      <c r="J18" s="172">
        <f t="shared" si="3"/>
        <v>0</v>
      </c>
      <c r="N18">
        <f t="shared" si="0"/>
        <v>0</v>
      </c>
      <c r="R18" s="12" t="s">
        <v>360</v>
      </c>
      <c r="S18" s="243">
        <f>Zadání!C29</f>
        <v>1</v>
      </c>
    </row>
    <row r="19" spans="1:24" x14ac:dyDescent="0.25">
      <c r="B19" s="11"/>
      <c r="G19">
        <v>17</v>
      </c>
      <c r="H19">
        <f>VLOOKUP($E$4,$E$23:$U$39,17,0)</f>
        <v>0</v>
      </c>
      <c r="I19">
        <f>VLOOKUP($E$4,$E$41:$U$57,17,0)</f>
        <v>0</v>
      </c>
      <c r="J19" s="172">
        <f t="shared" si="3"/>
        <v>0</v>
      </c>
      <c r="N19">
        <f t="shared" si="0"/>
        <v>0</v>
      </c>
      <c r="R19" s="12" t="s">
        <v>409</v>
      </c>
      <c r="S19" s="232">
        <f>Zadání!C28</f>
        <v>1</v>
      </c>
    </row>
    <row r="21" spans="1:24" ht="15.75" thickBot="1" x14ac:dyDescent="0.3"/>
    <row r="22" spans="1:24" x14ac:dyDescent="0.25">
      <c r="A22" s="142" t="s">
        <v>213</v>
      </c>
      <c r="B22" s="144" t="s">
        <v>229</v>
      </c>
      <c r="E22" s="133" t="s">
        <v>159</v>
      </c>
      <c r="F22" s="134">
        <v>2</v>
      </c>
      <c r="G22" s="134">
        <v>3</v>
      </c>
      <c r="H22" s="134">
        <v>4</v>
      </c>
      <c r="I22" s="134">
        <v>5</v>
      </c>
      <c r="J22" s="134">
        <v>6</v>
      </c>
      <c r="K22" s="134">
        <v>7</v>
      </c>
      <c r="L22" s="134">
        <v>8</v>
      </c>
      <c r="M22" s="134">
        <v>9</v>
      </c>
      <c r="N22" s="134">
        <v>10</v>
      </c>
      <c r="O22" s="134">
        <v>11</v>
      </c>
      <c r="P22" s="134">
        <v>12</v>
      </c>
      <c r="Q22" s="134">
        <v>13</v>
      </c>
      <c r="R22" s="134">
        <v>14</v>
      </c>
      <c r="S22" s="134">
        <v>15</v>
      </c>
      <c r="T22" s="134">
        <v>16</v>
      </c>
      <c r="U22" s="135">
        <v>17</v>
      </c>
    </row>
    <row r="23" spans="1:24" x14ac:dyDescent="0.25">
      <c r="A23" s="145" t="s">
        <v>214</v>
      </c>
      <c r="B23" s="1" t="s">
        <v>230</v>
      </c>
      <c r="D23">
        <v>1</v>
      </c>
      <c r="E23" s="132" t="s">
        <v>369</v>
      </c>
      <c r="F23" t="s">
        <v>213</v>
      </c>
      <c r="G23" s="172" t="str">
        <f>Y6</f>
        <v>IS01111100</v>
      </c>
      <c r="H23" t="s">
        <v>361</v>
      </c>
      <c r="I23" t="s">
        <v>89</v>
      </c>
      <c r="J23" t="s">
        <v>87</v>
      </c>
      <c r="K23" t="s">
        <v>88</v>
      </c>
      <c r="L23" t="s">
        <v>158</v>
      </c>
      <c r="M23" s="172" t="str">
        <f t="shared" ref="M23:M39" si="4">$Y$14</f>
        <v>ISV10016--</v>
      </c>
      <c r="N23" t="str">
        <f>$Y$16</f>
        <v>IS506122-A</v>
      </c>
      <c r="O23" t="s">
        <v>171</v>
      </c>
      <c r="P23" t="s">
        <v>90</v>
      </c>
      <c r="Q23" t="s">
        <v>245</v>
      </c>
      <c r="U23" s="1"/>
    </row>
    <row r="24" spans="1:24" x14ac:dyDescent="0.25">
      <c r="A24" s="145" t="s">
        <v>215</v>
      </c>
      <c r="B24" s="1" t="s">
        <v>231</v>
      </c>
      <c r="D24">
        <v>2</v>
      </c>
      <c r="E24" s="132" t="s">
        <v>370</v>
      </c>
      <c r="F24" t="s">
        <v>214</v>
      </c>
      <c r="G24" s="172" t="str">
        <f>Y6</f>
        <v>IS01111100</v>
      </c>
      <c r="H24" t="s">
        <v>361</v>
      </c>
      <c r="I24" t="s">
        <v>89</v>
      </c>
      <c r="J24" t="s">
        <v>87</v>
      </c>
      <c r="K24" t="s">
        <v>88</v>
      </c>
      <c r="L24" t="s">
        <v>158</v>
      </c>
      <c r="M24" s="172" t="str">
        <f t="shared" si="4"/>
        <v>ISV10016--</v>
      </c>
      <c r="N24" t="str">
        <f t="shared" ref="N24:N36" si="5">$Y$16</f>
        <v>IS506122-A</v>
      </c>
      <c r="O24" t="s">
        <v>171</v>
      </c>
      <c r="P24" t="s">
        <v>90</v>
      </c>
      <c r="Q24" t="s">
        <v>245</v>
      </c>
      <c r="U24" s="1"/>
    </row>
    <row r="25" spans="1:24" x14ac:dyDescent="0.25">
      <c r="A25" s="145" t="s">
        <v>216</v>
      </c>
      <c r="B25" s="1" t="s">
        <v>232</v>
      </c>
      <c r="D25">
        <v>3</v>
      </c>
      <c r="E25" s="132" t="s">
        <v>371</v>
      </c>
      <c r="F25" t="s">
        <v>217</v>
      </c>
      <c r="G25" s="172" t="str">
        <f>Y6</f>
        <v>IS01111100</v>
      </c>
      <c r="H25" t="s">
        <v>361</v>
      </c>
      <c r="I25" t="s">
        <v>89</v>
      </c>
      <c r="J25" t="s">
        <v>87</v>
      </c>
      <c r="K25" t="s">
        <v>88</v>
      </c>
      <c r="L25" t="s">
        <v>158</v>
      </c>
      <c r="M25" s="172" t="str">
        <f t="shared" si="4"/>
        <v>ISV10016--</v>
      </c>
      <c r="N25" t="str">
        <f t="shared" si="5"/>
        <v>IS506122-A</v>
      </c>
      <c r="O25" t="s">
        <v>171</v>
      </c>
      <c r="P25" t="s">
        <v>90</v>
      </c>
      <c r="Q25" t="s">
        <v>245</v>
      </c>
      <c r="U25" s="1"/>
    </row>
    <row r="26" spans="1:24" x14ac:dyDescent="0.25">
      <c r="A26" s="145" t="s">
        <v>218</v>
      </c>
      <c r="B26" s="1" t="s">
        <v>233</v>
      </c>
      <c r="D26">
        <v>4</v>
      </c>
      <c r="E26" s="132" t="s">
        <v>372</v>
      </c>
      <c r="F26" t="s">
        <v>215</v>
      </c>
      <c r="G26" s="172" t="str">
        <f>Y6</f>
        <v>IS01111100</v>
      </c>
      <c r="H26" t="s">
        <v>361</v>
      </c>
      <c r="I26" t="s">
        <v>89</v>
      </c>
      <c r="J26" t="s">
        <v>87</v>
      </c>
      <c r="K26" t="s">
        <v>88</v>
      </c>
      <c r="L26" t="s">
        <v>158</v>
      </c>
      <c r="M26" s="172" t="str">
        <f t="shared" si="4"/>
        <v>ISV10016--</v>
      </c>
      <c r="N26" t="str">
        <f t="shared" si="5"/>
        <v>IS506122-A</v>
      </c>
      <c r="O26" t="s">
        <v>171</v>
      </c>
      <c r="P26" t="s">
        <v>90</v>
      </c>
      <c r="Q26" t="s">
        <v>245</v>
      </c>
      <c r="U26" s="1"/>
    </row>
    <row r="27" spans="1:24" x14ac:dyDescent="0.25">
      <c r="A27" s="145" t="s">
        <v>217</v>
      </c>
      <c r="B27" s="1" t="s">
        <v>234</v>
      </c>
      <c r="D27">
        <v>5</v>
      </c>
      <c r="E27" s="132" t="s">
        <v>373</v>
      </c>
      <c r="F27" t="s">
        <v>216</v>
      </c>
      <c r="G27" s="172" t="str">
        <f>Y6</f>
        <v>IS01111100</v>
      </c>
      <c r="H27" t="s">
        <v>361</v>
      </c>
      <c r="I27" t="s">
        <v>89</v>
      </c>
      <c r="J27" t="s">
        <v>87</v>
      </c>
      <c r="K27" t="s">
        <v>88</v>
      </c>
      <c r="L27" t="s">
        <v>158</v>
      </c>
      <c r="M27" s="172" t="str">
        <f t="shared" si="4"/>
        <v>ISV10016--</v>
      </c>
      <c r="N27" t="str">
        <f t="shared" si="5"/>
        <v>IS506122-A</v>
      </c>
      <c r="O27" t="s">
        <v>171</v>
      </c>
      <c r="P27" t="s">
        <v>90</v>
      </c>
      <c r="Q27" t="s">
        <v>245</v>
      </c>
      <c r="U27" s="1"/>
    </row>
    <row r="28" spans="1:24" x14ac:dyDescent="0.25">
      <c r="A28" s="145" t="s">
        <v>219</v>
      </c>
      <c r="B28" s="1" t="s">
        <v>235</v>
      </c>
      <c r="D28">
        <v>6</v>
      </c>
      <c r="E28" s="132" t="s">
        <v>374</v>
      </c>
      <c r="F28" t="s">
        <v>216</v>
      </c>
      <c r="G28" s="172" t="str">
        <f>Y6</f>
        <v>IS01111100</v>
      </c>
      <c r="H28" t="s">
        <v>361</v>
      </c>
      <c r="I28" t="s">
        <v>89</v>
      </c>
      <c r="J28" t="s">
        <v>87</v>
      </c>
      <c r="K28" t="s">
        <v>88</v>
      </c>
      <c r="L28" t="s">
        <v>158</v>
      </c>
      <c r="M28" s="172" t="str">
        <f t="shared" si="4"/>
        <v>ISV10016--</v>
      </c>
      <c r="N28" t="str">
        <f t="shared" si="5"/>
        <v>IS506122-A</v>
      </c>
      <c r="O28" t="s">
        <v>171</v>
      </c>
      <c r="P28" t="s">
        <v>90</v>
      </c>
      <c r="Q28" t="s">
        <v>245</v>
      </c>
      <c r="U28" s="1"/>
    </row>
    <row r="29" spans="1:24" x14ac:dyDescent="0.25">
      <c r="A29" s="145" t="s">
        <v>361</v>
      </c>
      <c r="B29" s="1" t="s">
        <v>362</v>
      </c>
      <c r="D29">
        <v>7</v>
      </c>
      <c r="E29" s="132" t="s">
        <v>375</v>
      </c>
      <c r="F29" t="s">
        <v>219</v>
      </c>
      <c r="G29" s="247" t="str">
        <f>Y6</f>
        <v>IS01111100</v>
      </c>
      <c r="H29" t="s">
        <v>361</v>
      </c>
      <c r="I29" t="s">
        <v>89</v>
      </c>
      <c r="J29" t="s">
        <v>87</v>
      </c>
      <c r="K29" t="s">
        <v>88</v>
      </c>
      <c r="L29" t="s">
        <v>158</v>
      </c>
      <c r="M29" s="172" t="str">
        <f t="shared" si="4"/>
        <v>ISV10016--</v>
      </c>
      <c r="N29" t="str">
        <f t="shared" si="5"/>
        <v>IS506122-A</v>
      </c>
      <c r="O29" t="s">
        <v>171</v>
      </c>
      <c r="P29" t="s">
        <v>90</v>
      </c>
      <c r="Q29" t="s">
        <v>245</v>
      </c>
      <c r="U29" s="1"/>
    </row>
    <row r="30" spans="1:24" x14ac:dyDescent="0.25">
      <c r="A30" s="145" t="s">
        <v>132</v>
      </c>
      <c r="B30" s="1" t="s">
        <v>133</v>
      </c>
      <c r="D30">
        <v>8</v>
      </c>
      <c r="E30" s="132" t="s">
        <v>376</v>
      </c>
      <c r="F30" t="s">
        <v>219</v>
      </c>
      <c r="G30" s="247" t="str">
        <f>Y6</f>
        <v>IS01111100</v>
      </c>
      <c r="H30" t="s">
        <v>361</v>
      </c>
      <c r="I30" t="s">
        <v>89</v>
      </c>
      <c r="J30" t="s">
        <v>87</v>
      </c>
      <c r="K30" t="s">
        <v>88</v>
      </c>
      <c r="L30" t="s">
        <v>158</v>
      </c>
      <c r="M30" s="172" t="str">
        <f t="shared" si="4"/>
        <v>ISV10016--</v>
      </c>
      <c r="N30" t="str">
        <f t="shared" si="5"/>
        <v>IS506122-A</v>
      </c>
      <c r="O30" t="s">
        <v>171</v>
      </c>
      <c r="P30" t="s">
        <v>90</v>
      </c>
      <c r="Q30" t="s">
        <v>245</v>
      </c>
      <c r="U30" s="1"/>
    </row>
    <row r="31" spans="1:24" x14ac:dyDescent="0.25">
      <c r="A31" s="145" t="s">
        <v>222</v>
      </c>
      <c r="B31" s="1" t="s">
        <v>236</v>
      </c>
      <c r="D31">
        <v>9</v>
      </c>
      <c r="E31" s="161" t="s">
        <v>377</v>
      </c>
      <c r="F31" s="248" t="s">
        <v>220</v>
      </c>
      <c r="G31" s="247" t="str">
        <f>Y6</f>
        <v>IS01111100</v>
      </c>
      <c r="H31" s="248" t="s">
        <v>222</v>
      </c>
      <c r="I31" s="248" t="s">
        <v>89</v>
      </c>
      <c r="J31" s="248" t="s">
        <v>87</v>
      </c>
      <c r="K31" s="248" t="s">
        <v>88</v>
      </c>
      <c r="L31" s="248" t="s">
        <v>158</v>
      </c>
      <c r="M31" s="247" t="str">
        <f t="shared" si="4"/>
        <v>ISV10016--</v>
      </c>
      <c r="N31" s="248" t="str">
        <f t="shared" si="5"/>
        <v>IS506122-A</v>
      </c>
      <c r="O31" s="248" t="s">
        <v>171</v>
      </c>
      <c r="P31" s="249" t="s">
        <v>90</v>
      </c>
      <c r="Q31" s="249" t="s">
        <v>245</v>
      </c>
      <c r="R31" s="248" t="s">
        <v>221</v>
      </c>
      <c r="S31" s="250" t="s">
        <v>300</v>
      </c>
      <c r="U31" s="1"/>
      <c r="X31" t="s">
        <v>346</v>
      </c>
    </row>
    <row r="32" spans="1:24" x14ac:dyDescent="0.25">
      <c r="A32" s="145" t="s">
        <v>87</v>
      </c>
      <c r="B32" s="1" t="s">
        <v>173</v>
      </c>
      <c r="D32">
        <v>10</v>
      </c>
      <c r="E32" s="161" t="s">
        <v>378</v>
      </c>
      <c r="F32" s="248" t="s">
        <v>220</v>
      </c>
      <c r="G32" s="247" t="str">
        <f>Y6</f>
        <v>IS01111100</v>
      </c>
      <c r="H32" s="248" t="s">
        <v>222</v>
      </c>
      <c r="I32" s="248" t="s">
        <v>89</v>
      </c>
      <c r="J32" s="248" t="s">
        <v>87</v>
      </c>
      <c r="K32" s="248" t="s">
        <v>88</v>
      </c>
      <c r="L32" s="248" t="s">
        <v>158</v>
      </c>
      <c r="M32" s="247" t="str">
        <f t="shared" si="4"/>
        <v>ISV10016--</v>
      </c>
      <c r="N32" s="248" t="str">
        <f t="shared" si="5"/>
        <v>IS506122-A</v>
      </c>
      <c r="O32" s="248" t="s">
        <v>171</v>
      </c>
      <c r="P32" s="249" t="s">
        <v>90</v>
      </c>
      <c r="Q32" s="249" t="s">
        <v>245</v>
      </c>
      <c r="R32" s="248" t="s">
        <v>221</v>
      </c>
      <c r="S32" s="250" t="s">
        <v>300</v>
      </c>
      <c r="T32" s="11"/>
      <c r="U32" s="236"/>
    </row>
    <row r="33" spans="1:24" x14ac:dyDescent="0.25">
      <c r="A33" s="145" t="s">
        <v>88</v>
      </c>
      <c r="B33" s="1" t="s">
        <v>174</v>
      </c>
      <c r="D33">
        <v>11</v>
      </c>
      <c r="E33" s="161" t="s">
        <v>379</v>
      </c>
      <c r="F33" s="248" t="s">
        <v>223</v>
      </c>
      <c r="G33" s="247" t="str">
        <f>Y6</f>
        <v>IS01111100</v>
      </c>
      <c r="H33" s="248" t="s">
        <v>222</v>
      </c>
      <c r="I33" s="248" t="s">
        <v>89</v>
      </c>
      <c r="J33" s="248" t="s">
        <v>87</v>
      </c>
      <c r="K33" s="248" t="s">
        <v>88</v>
      </c>
      <c r="L33" s="248" t="s">
        <v>158</v>
      </c>
      <c r="M33" s="247" t="str">
        <f t="shared" si="4"/>
        <v>ISV10016--</v>
      </c>
      <c r="N33" s="248" t="str">
        <f t="shared" si="5"/>
        <v>IS506122-A</v>
      </c>
      <c r="O33" s="248" t="s">
        <v>171</v>
      </c>
      <c r="P33" s="249" t="s">
        <v>90</v>
      </c>
      <c r="Q33" s="249" t="s">
        <v>245</v>
      </c>
      <c r="R33" s="248" t="s">
        <v>224</v>
      </c>
      <c r="S33" s="250" t="s">
        <v>300</v>
      </c>
      <c r="T33" s="235" t="str">
        <f>IF(Zadání!C28&lt;Zadání!C29,"IKB01037--","")</f>
        <v/>
      </c>
      <c r="U33" s="241" t="str">
        <f>IF(Zadání!C28&lt;Zadání!C29,"IKB01037N-","")</f>
        <v/>
      </c>
    </row>
    <row r="34" spans="1:24" x14ac:dyDescent="0.25">
      <c r="A34" s="145" t="s">
        <v>89</v>
      </c>
      <c r="B34" s="1" t="s">
        <v>175</v>
      </c>
      <c r="D34">
        <v>12</v>
      </c>
      <c r="E34" s="161" t="s">
        <v>380</v>
      </c>
      <c r="F34" s="248" t="s">
        <v>225</v>
      </c>
      <c r="G34" s="172" t="str">
        <f>Y6</f>
        <v>IS01111100</v>
      </c>
      <c r="H34" s="248" t="s">
        <v>222</v>
      </c>
      <c r="I34" s="248" t="s">
        <v>89</v>
      </c>
      <c r="J34" s="248" t="s">
        <v>87</v>
      </c>
      <c r="K34" s="248" t="s">
        <v>88</v>
      </c>
      <c r="L34" s="248" t="s">
        <v>158</v>
      </c>
      <c r="M34" s="247" t="str">
        <f t="shared" si="4"/>
        <v>ISV10016--</v>
      </c>
      <c r="N34" s="248" t="str">
        <f t="shared" si="5"/>
        <v>IS506122-A</v>
      </c>
      <c r="O34" s="248" t="s">
        <v>171</v>
      </c>
      <c r="P34" s="249" t="s">
        <v>90</v>
      </c>
      <c r="Q34" s="249" t="s">
        <v>245</v>
      </c>
      <c r="R34" s="248" t="s">
        <v>226</v>
      </c>
      <c r="S34" s="250" t="s">
        <v>300</v>
      </c>
      <c r="T34" s="235" t="str">
        <f>IF(Zadání!C28&lt;Zadání!C29,"IKB01037--","")</f>
        <v/>
      </c>
      <c r="U34" s="241" t="str">
        <f>IF(Zadání!C28&lt;Zadání!C29,"IKB01037N-","")</f>
        <v/>
      </c>
      <c r="X34">
        <f>MATCH('Zdrojová data'!E4,'Zdrojová data'!E59:E75,0)</f>
        <v>1</v>
      </c>
    </row>
    <row r="35" spans="1:24" x14ac:dyDescent="0.25">
      <c r="A35" s="145" t="s">
        <v>90</v>
      </c>
      <c r="B35" s="1" t="s">
        <v>91</v>
      </c>
      <c r="D35">
        <v>13</v>
      </c>
      <c r="E35" s="161" t="s">
        <v>381</v>
      </c>
      <c r="F35" s="248" t="s">
        <v>227</v>
      </c>
      <c r="G35" s="172" t="str">
        <f>Y6</f>
        <v>IS01111100</v>
      </c>
      <c r="H35" s="248" t="s">
        <v>222</v>
      </c>
      <c r="I35" s="248" t="s">
        <v>89</v>
      </c>
      <c r="J35" s="248" t="s">
        <v>87</v>
      </c>
      <c r="K35" s="248" t="s">
        <v>88</v>
      </c>
      <c r="L35" s="248" t="s">
        <v>158</v>
      </c>
      <c r="M35" s="247" t="str">
        <f t="shared" si="4"/>
        <v>ISV10016--</v>
      </c>
      <c r="N35" s="248" t="str">
        <f t="shared" si="5"/>
        <v>IS506122-A</v>
      </c>
      <c r="O35" s="248" t="s">
        <v>171</v>
      </c>
      <c r="P35" s="249" t="s">
        <v>90</v>
      </c>
      <c r="Q35" s="249" t="s">
        <v>245</v>
      </c>
      <c r="R35" s="248" t="s">
        <v>228</v>
      </c>
      <c r="S35" s="250" t="s">
        <v>300</v>
      </c>
      <c r="T35" s="235" t="str">
        <f>IF(Zadání!C28&lt;Zadání!C29,"IKB01037--","")</f>
        <v/>
      </c>
      <c r="U35" s="241" t="str">
        <f>IF(Zadání!C28&lt;Zadání!C29,"IKB01037N-","")</f>
        <v/>
      </c>
    </row>
    <row r="36" spans="1:24" x14ac:dyDescent="0.25">
      <c r="A36" s="145" t="s">
        <v>86</v>
      </c>
      <c r="B36" s="1" t="s">
        <v>341</v>
      </c>
      <c r="D36">
        <v>14</v>
      </c>
      <c r="E36" s="161" t="s">
        <v>382</v>
      </c>
      <c r="F36" s="248" t="s">
        <v>227</v>
      </c>
      <c r="G36" s="172" t="str">
        <f>Y6</f>
        <v>IS01111100</v>
      </c>
      <c r="H36" s="248" t="s">
        <v>222</v>
      </c>
      <c r="I36" s="248" t="s">
        <v>89</v>
      </c>
      <c r="J36" s="248" t="s">
        <v>87</v>
      </c>
      <c r="K36" s="248" t="s">
        <v>88</v>
      </c>
      <c r="L36" s="248" t="s">
        <v>158</v>
      </c>
      <c r="M36" s="247" t="str">
        <f t="shared" si="4"/>
        <v>ISV10016--</v>
      </c>
      <c r="N36" s="248" t="str">
        <f t="shared" si="5"/>
        <v>IS506122-A</v>
      </c>
      <c r="O36" s="248" t="s">
        <v>171</v>
      </c>
      <c r="P36" s="249" t="s">
        <v>90</v>
      </c>
      <c r="Q36" s="249" t="s">
        <v>245</v>
      </c>
      <c r="R36" s="248" t="s">
        <v>228</v>
      </c>
      <c r="S36" s="250" t="s">
        <v>300</v>
      </c>
      <c r="T36" s="11"/>
      <c r="U36" s="236"/>
    </row>
    <row r="37" spans="1:24" x14ac:dyDescent="0.25">
      <c r="A37" s="145" t="s">
        <v>220</v>
      </c>
      <c r="B37" s="1" t="s">
        <v>237</v>
      </c>
      <c r="D37">
        <v>15</v>
      </c>
      <c r="E37" s="132"/>
      <c r="G37" s="172" t="str">
        <f>Y6</f>
        <v>IS01111100</v>
      </c>
      <c r="M37" s="172" t="str">
        <f t="shared" si="4"/>
        <v>ISV10016--</v>
      </c>
      <c r="Q37" s="248"/>
      <c r="U37" s="1"/>
    </row>
    <row r="38" spans="1:24" x14ac:dyDescent="0.25">
      <c r="A38" s="145" t="s">
        <v>223</v>
      </c>
      <c r="B38" s="1" t="s">
        <v>238</v>
      </c>
      <c r="D38">
        <v>16</v>
      </c>
      <c r="E38" s="132"/>
      <c r="G38" s="172" t="str">
        <f>Y6</f>
        <v>IS01111100</v>
      </c>
      <c r="M38" s="172" t="str">
        <f t="shared" si="4"/>
        <v>ISV10016--</v>
      </c>
      <c r="Q38" s="248"/>
      <c r="U38" s="1"/>
    </row>
    <row r="39" spans="1:24" ht="15.75" thickBot="1" x14ac:dyDescent="0.3">
      <c r="A39" s="145" t="s">
        <v>225</v>
      </c>
      <c r="B39" s="1" t="s">
        <v>239</v>
      </c>
      <c r="D39">
        <v>17</v>
      </c>
      <c r="E39" s="196"/>
      <c r="F39" s="9"/>
      <c r="G39" s="237" t="str">
        <f>Y6</f>
        <v>IS01111100</v>
      </c>
      <c r="H39" s="9"/>
      <c r="I39" s="9"/>
      <c r="J39" s="9"/>
      <c r="K39" s="9"/>
      <c r="L39" s="9"/>
      <c r="M39" s="237" t="str">
        <f t="shared" si="4"/>
        <v>ISV10016--</v>
      </c>
      <c r="N39" s="9"/>
      <c r="O39" s="9"/>
      <c r="P39" s="9"/>
      <c r="Q39" s="9"/>
      <c r="R39" s="9"/>
      <c r="S39" s="9"/>
      <c r="T39" s="9"/>
      <c r="U39" s="8"/>
    </row>
    <row r="40" spans="1:24" x14ac:dyDescent="0.25">
      <c r="A40" s="145" t="s">
        <v>227</v>
      </c>
      <c r="B40" s="1" t="s">
        <v>240</v>
      </c>
      <c r="E40" s="136" t="s">
        <v>160</v>
      </c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5"/>
    </row>
    <row r="41" spans="1:24" x14ac:dyDescent="0.25">
      <c r="A41" s="145" t="s">
        <v>221</v>
      </c>
      <c r="B41" s="1" t="s">
        <v>241</v>
      </c>
      <c r="D41">
        <v>1</v>
      </c>
      <c r="E41" s="132" t="s">
        <v>369</v>
      </c>
      <c r="F41">
        <v>1</v>
      </c>
      <c r="G41">
        <v>1</v>
      </c>
      <c r="H41">
        <v>1</v>
      </c>
      <c r="I41">
        <v>1</v>
      </c>
      <c r="J41">
        <v>1</v>
      </c>
      <c r="K41" s="252">
        <v>2</v>
      </c>
      <c r="L41" s="253">
        <f>N41*4+1</f>
        <v>5</v>
      </c>
      <c r="M41" s="252">
        <f>N41*2</f>
        <v>2</v>
      </c>
      <c r="N41" s="252">
        <v>1</v>
      </c>
      <c r="O41" s="253">
        <f>N41*4+1</f>
        <v>5</v>
      </c>
      <c r="P41" s="252">
        <v>2</v>
      </c>
      <c r="Q41" s="252">
        <v>1</v>
      </c>
      <c r="U41" s="1"/>
    </row>
    <row r="42" spans="1:24" x14ac:dyDescent="0.25">
      <c r="A42" s="145" t="s">
        <v>224</v>
      </c>
      <c r="B42" s="1" t="s">
        <v>242</v>
      </c>
      <c r="D42">
        <v>2</v>
      </c>
      <c r="E42" s="132" t="s">
        <v>370</v>
      </c>
      <c r="F42">
        <v>1</v>
      </c>
      <c r="G42">
        <v>2</v>
      </c>
      <c r="H42">
        <v>1</v>
      </c>
      <c r="I42">
        <v>2</v>
      </c>
      <c r="J42">
        <v>2</v>
      </c>
      <c r="K42" s="252">
        <v>4</v>
      </c>
      <c r="L42" s="253">
        <f t="shared" ref="L42:L48" si="6">N42*4+1</f>
        <v>9</v>
      </c>
      <c r="M42" s="252">
        <f t="shared" ref="M42:M44" si="7">N42*2</f>
        <v>4</v>
      </c>
      <c r="N42" s="252">
        <v>2</v>
      </c>
      <c r="O42" s="253">
        <f t="shared" ref="O42:O45" si="8">N42*4+1</f>
        <v>9</v>
      </c>
      <c r="P42" s="252">
        <v>2</v>
      </c>
      <c r="Q42" s="252">
        <v>1</v>
      </c>
      <c r="U42" s="1"/>
    </row>
    <row r="43" spans="1:24" x14ac:dyDescent="0.25">
      <c r="A43" s="145" t="s">
        <v>226</v>
      </c>
      <c r="B43" s="1" t="s">
        <v>243</v>
      </c>
      <c r="D43">
        <v>3</v>
      </c>
      <c r="E43" s="132" t="s">
        <v>371</v>
      </c>
      <c r="F43">
        <v>1</v>
      </c>
      <c r="G43">
        <v>3</v>
      </c>
      <c r="H43">
        <v>1</v>
      </c>
      <c r="I43">
        <v>3</v>
      </c>
      <c r="J43">
        <v>3</v>
      </c>
      <c r="K43" s="252">
        <v>6</v>
      </c>
      <c r="L43" s="253">
        <f t="shared" si="6"/>
        <v>13</v>
      </c>
      <c r="M43" s="252">
        <f t="shared" si="7"/>
        <v>6</v>
      </c>
      <c r="N43" s="252">
        <v>3</v>
      </c>
      <c r="O43" s="253">
        <f t="shared" si="8"/>
        <v>13</v>
      </c>
      <c r="P43" s="252">
        <v>2</v>
      </c>
      <c r="Q43" s="252">
        <v>1</v>
      </c>
      <c r="U43" s="1"/>
    </row>
    <row r="44" spans="1:24" x14ac:dyDescent="0.25">
      <c r="A44" s="145" t="s">
        <v>228</v>
      </c>
      <c r="B44" s="1" t="s">
        <v>244</v>
      </c>
      <c r="D44">
        <v>4</v>
      </c>
      <c r="E44" s="132" t="s">
        <v>372</v>
      </c>
      <c r="F44">
        <v>1</v>
      </c>
      <c r="G44">
        <v>4</v>
      </c>
      <c r="H44">
        <v>1</v>
      </c>
      <c r="I44">
        <v>4</v>
      </c>
      <c r="J44">
        <v>4</v>
      </c>
      <c r="K44" s="252">
        <v>8</v>
      </c>
      <c r="L44" s="253">
        <f t="shared" si="6"/>
        <v>17</v>
      </c>
      <c r="M44" s="252">
        <f t="shared" si="7"/>
        <v>8</v>
      </c>
      <c r="N44" s="252">
        <v>4</v>
      </c>
      <c r="O44" s="253">
        <f t="shared" si="8"/>
        <v>17</v>
      </c>
      <c r="P44" s="252">
        <v>4</v>
      </c>
      <c r="Q44" s="252">
        <v>1</v>
      </c>
      <c r="U44" s="1"/>
    </row>
    <row r="45" spans="1:24" x14ac:dyDescent="0.25">
      <c r="A45" s="238" t="s">
        <v>149</v>
      </c>
      <c r="B45" s="236" t="s">
        <v>177</v>
      </c>
      <c r="C45" s="11"/>
      <c r="D45">
        <v>5</v>
      </c>
      <c r="E45" s="132" t="s">
        <v>373</v>
      </c>
      <c r="F45">
        <v>1</v>
      </c>
      <c r="G45">
        <v>5</v>
      </c>
      <c r="H45">
        <v>1</v>
      </c>
      <c r="I45">
        <v>5</v>
      </c>
      <c r="J45">
        <v>5</v>
      </c>
      <c r="K45" s="252">
        <v>10</v>
      </c>
      <c r="L45" s="253">
        <f>N45*4+1</f>
        <v>21</v>
      </c>
      <c r="M45" s="252">
        <v>10</v>
      </c>
      <c r="N45" s="252">
        <v>5</v>
      </c>
      <c r="O45" s="253">
        <f t="shared" si="8"/>
        <v>21</v>
      </c>
      <c r="P45" s="252">
        <v>6</v>
      </c>
      <c r="Q45" s="252">
        <v>1</v>
      </c>
      <c r="U45" s="1"/>
    </row>
    <row r="46" spans="1:24" x14ac:dyDescent="0.25">
      <c r="A46" s="238" t="s">
        <v>354</v>
      </c>
      <c r="B46" s="236" t="s">
        <v>355</v>
      </c>
      <c r="C46" s="11"/>
      <c r="D46">
        <v>6</v>
      </c>
      <c r="E46" s="132" t="s">
        <v>374</v>
      </c>
      <c r="F46">
        <v>1</v>
      </c>
      <c r="G46">
        <v>6</v>
      </c>
      <c r="H46">
        <v>1</v>
      </c>
      <c r="I46">
        <v>6</v>
      </c>
      <c r="J46">
        <v>6</v>
      </c>
      <c r="K46" s="252">
        <v>12</v>
      </c>
      <c r="L46" s="253">
        <f t="shared" si="6"/>
        <v>25</v>
      </c>
      <c r="M46" s="252">
        <f t="shared" ref="M46" si="9">N46*2</f>
        <v>12</v>
      </c>
      <c r="N46" s="252">
        <v>6</v>
      </c>
      <c r="O46" s="253">
        <f t="shared" ref="O46:O47" si="10">N46*4+1</f>
        <v>25</v>
      </c>
      <c r="P46" s="252">
        <v>6</v>
      </c>
      <c r="Q46" s="252">
        <v>1</v>
      </c>
      <c r="U46" s="1"/>
    </row>
    <row r="47" spans="1:24" x14ac:dyDescent="0.25">
      <c r="A47" s="238" t="s">
        <v>156</v>
      </c>
      <c r="B47" s="236" t="s">
        <v>163</v>
      </c>
      <c r="C47" s="11"/>
      <c r="D47">
        <v>7</v>
      </c>
      <c r="E47" s="132" t="s">
        <v>375</v>
      </c>
      <c r="F47">
        <v>1</v>
      </c>
      <c r="G47">
        <v>7</v>
      </c>
      <c r="H47">
        <v>1</v>
      </c>
      <c r="I47">
        <v>7</v>
      </c>
      <c r="J47">
        <v>7</v>
      </c>
      <c r="K47" s="252">
        <v>14</v>
      </c>
      <c r="L47" s="253">
        <f t="shared" si="6"/>
        <v>29</v>
      </c>
      <c r="M47" s="252">
        <v>14</v>
      </c>
      <c r="N47" s="252">
        <v>7</v>
      </c>
      <c r="O47" s="253">
        <f t="shared" si="10"/>
        <v>29</v>
      </c>
      <c r="P47" s="252">
        <v>6</v>
      </c>
      <c r="Q47" s="252">
        <v>1</v>
      </c>
      <c r="U47" s="1"/>
    </row>
    <row r="48" spans="1:24" x14ac:dyDescent="0.25">
      <c r="A48" s="238" t="s">
        <v>98</v>
      </c>
      <c r="B48" s="236" t="s">
        <v>337</v>
      </c>
      <c r="C48" s="11"/>
      <c r="D48">
        <v>8</v>
      </c>
      <c r="E48" s="132" t="s">
        <v>376</v>
      </c>
      <c r="F48">
        <v>1</v>
      </c>
      <c r="G48">
        <v>8</v>
      </c>
      <c r="H48">
        <v>1</v>
      </c>
      <c r="I48">
        <v>8</v>
      </c>
      <c r="J48">
        <v>8</v>
      </c>
      <c r="K48" s="252">
        <v>16</v>
      </c>
      <c r="L48" s="253">
        <f t="shared" si="6"/>
        <v>33</v>
      </c>
      <c r="M48" s="252">
        <f t="shared" ref="M48" si="11">N48*2</f>
        <v>16</v>
      </c>
      <c r="N48" s="252">
        <v>8</v>
      </c>
      <c r="O48" s="253">
        <f t="shared" ref="O48" si="12">N48*4+1</f>
        <v>33</v>
      </c>
      <c r="P48" s="252">
        <v>6</v>
      </c>
      <c r="Q48" s="252">
        <v>1</v>
      </c>
      <c r="U48" s="1"/>
    </row>
    <row r="49" spans="1:21" x14ac:dyDescent="0.25">
      <c r="A49" s="238" t="s">
        <v>100</v>
      </c>
      <c r="B49" s="236" t="s">
        <v>176</v>
      </c>
      <c r="C49" s="11"/>
      <c r="D49">
        <v>9</v>
      </c>
      <c r="E49" s="161" t="s">
        <v>377</v>
      </c>
      <c r="F49" s="248">
        <v>1</v>
      </c>
      <c r="G49" s="248">
        <v>2</v>
      </c>
      <c r="H49" s="248">
        <v>1</v>
      </c>
      <c r="I49" s="248">
        <v>2</v>
      </c>
      <c r="J49" s="248">
        <v>2</v>
      </c>
      <c r="K49" s="248">
        <v>4</v>
      </c>
      <c r="L49" s="247">
        <f t="shared" ref="L49:L54" si="13">N49*4+1</f>
        <v>9</v>
      </c>
      <c r="M49" s="248">
        <v>4</v>
      </c>
      <c r="N49" s="248">
        <v>2</v>
      </c>
      <c r="O49" s="247">
        <v>9</v>
      </c>
      <c r="P49" s="252">
        <v>2</v>
      </c>
      <c r="Q49" s="248">
        <v>1</v>
      </c>
      <c r="R49" s="248">
        <v>1</v>
      </c>
      <c r="S49" s="248">
        <v>1</v>
      </c>
      <c r="U49" s="1"/>
    </row>
    <row r="50" spans="1:21" x14ac:dyDescent="0.25">
      <c r="A50" s="145" t="s">
        <v>158</v>
      </c>
      <c r="B50" s="1" t="s">
        <v>164</v>
      </c>
      <c r="D50">
        <v>10</v>
      </c>
      <c r="E50" s="161" t="s">
        <v>378</v>
      </c>
      <c r="F50" s="248">
        <v>1</v>
      </c>
      <c r="G50" s="248">
        <v>4</v>
      </c>
      <c r="H50" s="248">
        <v>1</v>
      </c>
      <c r="I50" s="248">
        <v>4</v>
      </c>
      <c r="J50" s="248">
        <v>4</v>
      </c>
      <c r="K50" s="248">
        <v>8</v>
      </c>
      <c r="L50" s="247">
        <f t="shared" si="13"/>
        <v>17</v>
      </c>
      <c r="M50" s="248">
        <f>N50*2</f>
        <v>8</v>
      </c>
      <c r="N50" s="248">
        <v>4</v>
      </c>
      <c r="O50" s="247">
        <f>N50*4+1</f>
        <v>17</v>
      </c>
      <c r="P50" s="252">
        <v>4</v>
      </c>
      <c r="Q50" s="248">
        <v>1</v>
      </c>
      <c r="R50" s="248">
        <v>1</v>
      </c>
      <c r="S50" s="248">
        <v>1</v>
      </c>
      <c r="U50" s="1"/>
    </row>
    <row r="51" spans="1:21" x14ac:dyDescent="0.25">
      <c r="A51" s="145" t="s">
        <v>171</v>
      </c>
      <c r="B51" s="1" t="s">
        <v>172</v>
      </c>
      <c r="D51">
        <v>11</v>
      </c>
      <c r="E51" s="161" t="s">
        <v>379</v>
      </c>
      <c r="F51" s="248">
        <v>1</v>
      </c>
      <c r="G51" s="248">
        <v>6</v>
      </c>
      <c r="H51" s="248">
        <v>1</v>
      </c>
      <c r="I51" s="248">
        <v>6</v>
      </c>
      <c r="J51" s="248">
        <v>6</v>
      </c>
      <c r="K51" s="248">
        <v>12</v>
      </c>
      <c r="L51" s="247">
        <f t="shared" si="13"/>
        <v>25</v>
      </c>
      <c r="M51" s="248">
        <f>N51*2</f>
        <v>12</v>
      </c>
      <c r="N51" s="248">
        <v>6</v>
      </c>
      <c r="O51" s="247">
        <f>N51*4+1</f>
        <v>25</v>
      </c>
      <c r="P51" s="252">
        <v>6</v>
      </c>
      <c r="Q51" s="248">
        <v>1</v>
      </c>
      <c r="R51" s="248">
        <v>1</v>
      </c>
      <c r="S51" s="248">
        <v>1</v>
      </c>
      <c r="T51" s="247" t="str">
        <f>IF(Zadání!C28&lt;Zadání!C29,"1","")</f>
        <v/>
      </c>
      <c r="U51" s="242" t="str">
        <f>IF(Zadání!C28&lt;Zadání!C29,"1","")</f>
        <v/>
      </c>
    </row>
    <row r="52" spans="1:21" x14ac:dyDescent="0.25">
      <c r="A52" s="145" t="s">
        <v>300</v>
      </c>
      <c r="B52" s="1" t="s">
        <v>356</v>
      </c>
      <c r="D52">
        <v>12</v>
      </c>
      <c r="E52" s="161" t="s">
        <v>380</v>
      </c>
      <c r="F52" s="248">
        <v>1</v>
      </c>
      <c r="G52" s="248">
        <v>9</v>
      </c>
      <c r="H52" s="248">
        <v>1</v>
      </c>
      <c r="I52" s="248">
        <v>9</v>
      </c>
      <c r="J52" s="248">
        <v>9</v>
      </c>
      <c r="K52" s="248">
        <v>18</v>
      </c>
      <c r="L52" s="247">
        <f t="shared" si="13"/>
        <v>37</v>
      </c>
      <c r="M52" s="248">
        <f>N52*2</f>
        <v>18</v>
      </c>
      <c r="N52" s="248">
        <v>9</v>
      </c>
      <c r="O52" s="247">
        <f>N52*4+1</f>
        <v>37</v>
      </c>
      <c r="P52" s="252">
        <v>6</v>
      </c>
      <c r="Q52" s="248">
        <v>1</v>
      </c>
      <c r="R52" s="248">
        <v>1</v>
      </c>
      <c r="S52" s="248">
        <v>1</v>
      </c>
      <c r="T52" s="247" t="str">
        <f>IF(Zadání!C28&lt;Zadání!C29,"2","")</f>
        <v/>
      </c>
      <c r="U52" s="242" t="str">
        <f>IF(Zadání!C28&lt;Zadání!C29,"2","")</f>
        <v/>
      </c>
    </row>
    <row r="53" spans="1:21" x14ac:dyDescent="0.25">
      <c r="A53" s="239" t="s">
        <v>299</v>
      </c>
      <c r="B53" s="1" t="s">
        <v>320</v>
      </c>
      <c r="D53">
        <v>13</v>
      </c>
      <c r="E53" s="161" t="s">
        <v>381</v>
      </c>
      <c r="F53" s="248">
        <v>1</v>
      </c>
      <c r="G53" s="248">
        <v>12</v>
      </c>
      <c r="H53" s="248">
        <v>1</v>
      </c>
      <c r="I53" s="248">
        <v>12</v>
      </c>
      <c r="J53" s="248">
        <v>12</v>
      </c>
      <c r="K53" s="248">
        <v>24</v>
      </c>
      <c r="L53" s="247">
        <f t="shared" si="13"/>
        <v>49</v>
      </c>
      <c r="M53" s="248">
        <f>N53*2</f>
        <v>24</v>
      </c>
      <c r="N53" s="248">
        <v>12</v>
      </c>
      <c r="O53" s="247">
        <f>N53*4+1</f>
        <v>49</v>
      </c>
      <c r="P53" s="252">
        <v>6</v>
      </c>
      <c r="Q53" s="248">
        <v>1</v>
      </c>
      <c r="R53" s="248">
        <v>1</v>
      </c>
      <c r="S53" s="248">
        <v>1</v>
      </c>
      <c r="T53" s="247" t="str">
        <f>IF(Zadání!C28&lt;Zadání!C29,"2","")</f>
        <v/>
      </c>
      <c r="U53" s="242" t="str">
        <f>IF(Zadání!C28&lt;Zadání!C29,"2","")</f>
        <v/>
      </c>
    </row>
    <row r="54" spans="1:21" x14ac:dyDescent="0.25">
      <c r="A54" s="145" t="s">
        <v>157</v>
      </c>
      <c r="B54" s="240" t="s">
        <v>270</v>
      </c>
      <c r="D54">
        <v>14</v>
      </c>
      <c r="E54" s="161" t="s">
        <v>382</v>
      </c>
      <c r="F54" s="248">
        <v>1</v>
      </c>
      <c r="G54" s="248">
        <v>16</v>
      </c>
      <c r="H54" s="248">
        <v>1</v>
      </c>
      <c r="I54" s="248">
        <v>16</v>
      </c>
      <c r="J54" s="248">
        <v>16</v>
      </c>
      <c r="K54" s="248">
        <v>32</v>
      </c>
      <c r="L54" s="247">
        <f t="shared" si="13"/>
        <v>65</v>
      </c>
      <c r="M54" s="248">
        <f>N54*2</f>
        <v>32</v>
      </c>
      <c r="N54" s="248">
        <v>16</v>
      </c>
      <c r="O54" s="247">
        <f>N54*4+1</f>
        <v>65</v>
      </c>
      <c r="P54" s="252">
        <v>8</v>
      </c>
      <c r="Q54" s="248">
        <v>1</v>
      </c>
      <c r="R54" s="248">
        <v>1</v>
      </c>
      <c r="S54" s="248">
        <v>1</v>
      </c>
      <c r="U54" s="1"/>
    </row>
    <row r="55" spans="1:21" x14ac:dyDescent="0.25">
      <c r="A55" s="145" t="s">
        <v>150</v>
      </c>
      <c r="B55" s="240" t="s">
        <v>272</v>
      </c>
      <c r="D55">
        <v>15</v>
      </c>
      <c r="E55" s="132"/>
      <c r="U55" s="1"/>
    </row>
    <row r="56" spans="1:21" x14ac:dyDescent="0.25">
      <c r="A56" s="145" t="s">
        <v>149</v>
      </c>
      <c r="B56" s="240" t="s">
        <v>271</v>
      </c>
      <c r="D56">
        <v>16</v>
      </c>
      <c r="E56" s="132"/>
      <c r="U56" s="1"/>
    </row>
    <row r="57" spans="1:21" ht="15.75" thickBot="1" x14ac:dyDescent="0.3">
      <c r="A57" s="239" t="s">
        <v>245</v>
      </c>
      <c r="B57" s="1" t="s">
        <v>297</v>
      </c>
      <c r="D57">
        <v>17</v>
      </c>
      <c r="E57" s="132"/>
      <c r="U57" s="1"/>
    </row>
    <row r="58" spans="1:21" x14ac:dyDescent="0.25">
      <c r="A58" s="238" t="s">
        <v>330</v>
      </c>
      <c r="B58" s="236" t="s">
        <v>338</v>
      </c>
      <c r="E58" s="163"/>
      <c r="F58" s="164"/>
      <c r="G58" s="164" t="s">
        <v>169</v>
      </c>
      <c r="H58" s="164" t="s">
        <v>255</v>
      </c>
      <c r="I58" s="164"/>
      <c r="J58" s="164" t="s">
        <v>253</v>
      </c>
      <c r="K58" s="164" t="s">
        <v>254</v>
      </c>
      <c r="L58" s="164" t="s">
        <v>249</v>
      </c>
      <c r="M58" s="164"/>
      <c r="N58" s="164" t="s">
        <v>257</v>
      </c>
      <c r="O58" s="164"/>
      <c r="P58" s="164" t="s">
        <v>259</v>
      </c>
      <c r="Q58" s="164" t="s">
        <v>260</v>
      </c>
      <c r="R58" s="164" t="s">
        <v>261</v>
      </c>
      <c r="S58" s="164" t="s">
        <v>28</v>
      </c>
      <c r="T58" s="164" t="s">
        <v>264</v>
      </c>
      <c r="U58" s="165"/>
    </row>
    <row r="59" spans="1:21" x14ac:dyDescent="0.25">
      <c r="A59" s="238" t="s">
        <v>331</v>
      </c>
      <c r="B59" s="236" t="s">
        <v>339</v>
      </c>
      <c r="D59">
        <v>1</v>
      </c>
      <c r="E59" s="166" t="s">
        <v>369</v>
      </c>
      <c r="F59" s="2"/>
      <c r="G59" s="231">
        <f t="shared" ref="G59:G75" si="14">$Z$14</f>
        <v>16</v>
      </c>
      <c r="H59" s="2">
        <v>1</v>
      </c>
      <c r="I59" s="162"/>
      <c r="J59" s="162" t="s">
        <v>165</v>
      </c>
      <c r="K59" s="162" t="s">
        <v>31</v>
      </c>
      <c r="L59" s="162">
        <v>0.8</v>
      </c>
      <c r="M59" s="162"/>
      <c r="N59" s="162">
        <v>11</v>
      </c>
      <c r="O59" s="162"/>
      <c r="P59" s="162">
        <v>35</v>
      </c>
      <c r="Q59" s="162">
        <v>60</v>
      </c>
      <c r="R59" s="162">
        <v>1</v>
      </c>
      <c r="S59" s="162">
        <v>2.1</v>
      </c>
      <c r="T59" s="162" t="s">
        <v>204</v>
      </c>
      <c r="U59" s="10"/>
    </row>
    <row r="60" spans="1:21" x14ac:dyDescent="0.25">
      <c r="A60" s="238" t="s">
        <v>332</v>
      </c>
      <c r="B60" s="236" t="s">
        <v>340</v>
      </c>
      <c r="D60">
        <v>2</v>
      </c>
      <c r="E60" s="166" t="s">
        <v>370</v>
      </c>
      <c r="F60" s="2"/>
      <c r="G60" s="231">
        <f t="shared" si="14"/>
        <v>16</v>
      </c>
      <c r="H60" s="2">
        <v>2</v>
      </c>
      <c r="I60" s="162"/>
      <c r="J60" s="162" t="s">
        <v>165</v>
      </c>
      <c r="K60" s="162" t="s">
        <v>31</v>
      </c>
      <c r="L60" s="162">
        <v>0.8</v>
      </c>
      <c r="M60" s="162"/>
      <c r="N60" s="162">
        <v>17</v>
      </c>
      <c r="O60" s="162"/>
      <c r="P60" s="162">
        <v>35</v>
      </c>
      <c r="Q60" s="162">
        <v>60</v>
      </c>
      <c r="R60" s="162">
        <v>1</v>
      </c>
      <c r="S60" s="162">
        <v>3</v>
      </c>
      <c r="T60" s="162" t="s">
        <v>204</v>
      </c>
      <c r="U60" s="10"/>
    </row>
    <row r="61" spans="1:21" x14ac:dyDescent="0.25">
      <c r="A61" s="238" t="s">
        <v>352</v>
      </c>
      <c r="B61" s="236" t="s">
        <v>353</v>
      </c>
      <c r="C61" s="11"/>
      <c r="D61">
        <v>3</v>
      </c>
      <c r="E61" s="166" t="s">
        <v>371</v>
      </c>
      <c r="F61" s="2"/>
      <c r="G61" s="231">
        <f t="shared" si="14"/>
        <v>16</v>
      </c>
      <c r="H61" s="2">
        <v>3</v>
      </c>
      <c r="I61" s="162"/>
      <c r="J61" s="162" t="s">
        <v>165</v>
      </c>
      <c r="K61" s="162" t="s">
        <v>31</v>
      </c>
      <c r="L61" s="162">
        <v>0.8</v>
      </c>
      <c r="M61" s="162"/>
      <c r="N61" s="162">
        <v>26</v>
      </c>
      <c r="O61" s="162"/>
      <c r="P61" s="162">
        <v>35</v>
      </c>
      <c r="Q61" s="162">
        <v>60</v>
      </c>
      <c r="R61" s="162">
        <v>1</v>
      </c>
      <c r="S61" s="162">
        <v>5</v>
      </c>
      <c r="T61" s="162" t="s">
        <v>204</v>
      </c>
      <c r="U61" s="10"/>
    </row>
    <row r="62" spans="1:21" x14ac:dyDescent="0.25">
      <c r="A62" s="238" t="s">
        <v>385</v>
      </c>
      <c r="B62" s="236" t="s">
        <v>384</v>
      </c>
      <c r="D62">
        <v>4</v>
      </c>
      <c r="E62" s="166" t="s">
        <v>372</v>
      </c>
      <c r="F62" s="2"/>
      <c r="G62" s="231">
        <f t="shared" si="14"/>
        <v>16</v>
      </c>
      <c r="H62" s="2">
        <v>4</v>
      </c>
      <c r="I62" s="162"/>
      <c r="J62" s="162" t="s">
        <v>165</v>
      </c>
      <c r="K62" s="162" t="s">
        <v>31</v>
      </c>
      <c r="L62" s="162">
        <v>0.8</v>
      </c>
      <c r="M62" s="162"/>
      <c r="N62" s="162">
        <v>33</v>
      </c>
      <c r="O62" s="162"/>
      <c r="P62" s="162">
        <v>35</v>
      </c>
      <c r="Q62" s="162">
        <v>60</v>
      </c>
      <c r="R62" s="162">
        <v>1</v>
      </c>
      <c r="S62" s="162">
        <v>6</v>
      </c>
      <c r="T62" s="162" t="s">
        <v>204</v>
      </c>
      <c r="U62" s="10"/>
    </row>
    <row r="63" spans="1:21" x14ac:dyDescent="0.25">
      <c r="A63" s="238" t="s">
        <v>406</v>
      </c>
      <c r="B63" s="236" t="s">
        <v>386</v>
      </c>
      <c r="C63" s="11"/>
      <c r="D63">
        <v>5</v>
      </c>
      <c r="E63" s="166" t="s">
        <v>373</v>
      </c>
      <c r="F63" s="2"/>
      <c r="G63" s="231">
        <f t="shared" si="14"/>
        <v>16</v>
      </c>
      <c r="H63" s="2">
        <v>5</v>
      </c>
      <c r="I63" s="162"/>
      <c r="J63" s="162" t="s">
        <v>165</v>
      </c>
      <c r="K63" s="162" t="s">
        <v>31</v>
      </c>
      <c r="L63" s="162">
        <v>0.8</v>
      </c>
      <c r="M63" s="162"/>
      <c r="N63" s="162">
        <v>45</v>
      </c>
      <c r="O63" s="162"/>
      <c r="P63" s="162">
        <v>35</v>
      </c>
      <c r="Q63" s="162">
        <v>60</v>
      </c>
      <c r="R63" s="162">
        <v>1</v>
      </c>
      <c r="S63" s="162">
        <v>7</v>
      </c>
      <c r="T63" s="162" t="s">
        <v>204</v>
      </c>
      <c r="U63" s="10"/>
    </row>
    <row r="64" spans="1:21" ht="15" customHeight="1" x14ac:dyDescent="0.25">
      <c r="A64" s="238" t="s">
        <v>401</v>
      </c>
      <c r="B64" s="236" t="s">
        <v>402</v>
      </c>
      <c r="D64">
        <v>6</v>
      </c>
      <c r="E64" s="166" t="s">
        <v>374</v>
      </c>
      <c r="F64" s="2"/>
      <c r="G64" s="231">
        <f t="shared" si="14"/>
        <v>16</v>
      </c>
      <c r="H64" s="2">
        <v>6</v>
      </c>
      <c r="I64" s="162"/>
      <c r="J64" s="162" t="s">
        <v>165</v>
      </c>
      <c r="K64" s="162" t="s">
        <v>31</v>
      </c>
      <c r="L64" s="162">
        <v>0.8</v>
      </c>
      <c r="M64" s="162"/>
      <c r="N64" s="162">
        <v>57</v>
      </c>
      <c r="O64" s="162"/>
      <c r="P64" s="162">
        <v>35</v>
      </c>
      <c r="Q64" s="162">
        <v>60</v>
      </c>
      <c r="R64" s="162">
        <v>1</v>
      </c>
      <c r="S64" s="162">
        <v>8</v>
      </c>
      <c r="T64" s="162" t="s">
        <v>204</v>
      </c>
      <c r="U64" s="10"/>
    </row>
    <row r="65" spans="1:21" ht="15" customHeight="1" x14ac:dyDescent="0.25">
      <c r="A65" s="145"/>
      <c r="B65" s="1"/>
      <c r="D65">
        <v>7</v>
      </c>
      <c r="E65" s="251" t="s">
        <v>375</v>
      </c>
      <c r="F65" s="2"/>
      <c r="G65" s="231">
        <f t="shared" si="14"/>
        <v>16</v>
      </c>
      <c r="H65" s="2">
        <v>7</v>
      </c>
      <c r="I65" s="162"/>
      <c r="J65" s="162" t="s">
        <v>165</v>
      </c>
      <c r="K65" s="162" t="s">
        <v>31</v>
      </c>
      <c r="L65" s="162">
        <v>0.8</v>
      </c>
      <c r="M65" s="162"/>
      <c r="N65" s="162">
        <v>65</v>
      </c>
      <c r="O65" s="162"/>
      <c r="P65" s="162">
        <v>35</v>
      </c>
      <c r="Q65" s="162">
        <v>60</v>
      </c>
      <c r="R65" s="162">
        <v>1</v>
      </c>
      <c r="S65" s="162">
        <v>9</v>
      </c>
      <c r="T65" s="162" t="s">
        <v>204</v>
      </c>
      <c r="U65" s="4"/>
    </row>
    <row r="66" spans="1:21" ht="15" customHeight="1" x14ac:dyDescent="0.25">
      <c r="A66" s="145"/>
      <c r="B66" s="1"/>
      <c r="D66">
        <v>8</v>
      </c>
      <c r="E66" s="166" t="s">
        <v>376</v>
      </c>
      <c r="F66" s="2"/>
      <c r="G66" s="231">
        <f t="shared" si="14"/>
        <v>16</v>
      </c>
      <c r="H66" s="2">
        <v>8</v>
      </c>
      <c r="I66" s="162"/>
      <c r="J66" s="162" t="s">
        <v>165</v>
      </c>
      <c r="K66" s="162" t="s">
        <v>31</v>
      </c>
      <c r="L66" s="162">
        <v>0.8</v>
      </c>
      <c r="M66" s="162"/>
      <c r="N66" s="162">
        <v>70</v>
      </c>
      <c r="O66" s="162"/>
      <c r="P66" s="162">
        <v>35</v>
      </c>
      <c r="Q66" s="162">
        <v>60</v>
      </c>
      <c r="R66" s="162">
        <v>1</v>
      </c>
      <c r="S66" s="162">
        <v>10</v>
      </c>
      <c r="T66" s="162" t="s">
        <v>204</v>
      </c>
      <c r="U66" s="4"/>
    </row>
    <row r="67" spans="1:21" ht="15" customHeight="1" x14ac:dyDescent="0.25">
      <c r="A67" s="145"/>
      <c r="B67" s="1"/>
      <c r="D67">
        <v>9</v>
      </c>
      <c r="E67" s="166" t="s">
        <v>377</v>
      </c>
      <c r="F67" s="2"/>
      <c r="G67" s="231">
        <f t="shared" si="14"/>
        <v>16</v>
      </c>
      <c r="H67" s="168">
        <v>2</v>
      </c>
      <c r="I67" s="162"/>
      <c r="J67" s="162" t="s">
        <v>363</v>
      </c>
      <c r="K67" s="2" t="s">
        <v>32</v>
      </c>
      <c r="L67" s="162">
        <v>0.8</v>
      </c>
      <c r="M67" s="2"/>
      <c r="N67" s="2">
        <v>20</v>
      </c>
      <c r="O67" s="2"/>
      <c r="P67" s="162">
        <v>35</v>
      </c>
      <c r="Q67" s="162">
        <v>60</v>
      </c>
      <c r="R67" s="2">
        <v>2</v>
      </c>
      <c r="S67" s="2">
        <v>4.5</v>
      </c>
      <c r="T67" s="2" t="s">
        <v>182</v>
      </c>
      <c r="U67" s="4"/>
    </row>
    <row r="68" spans="1:21" x14ac:dyDescent="0.25">
      <c r="A68" s="145"/>
      <c r="B68" s="1"/>
      <c r="D68">
        <v>10</v>
      </c>
      <c r="E68" s="166" t="s">
        <v>378</v>
      </c>
      <c r="F68" s="2"/>
      <c r="G68" s="231">
        <f t="shared" si="14"/>
        <v>16</v>
      </c>
      <c r="H68" s="168">
        <v>4</v>
      </c>
      <c r="I68" s="162"/>
      <c r="J68" s="162" t="s">
        <v>363</v>
      </c>
      <c r="K68" s="2" t="s">
        <v>32</v>
      </c>
      <c r="L68" s="162">
        <v>0.8</v>
      </c>
      <c r="M68" s="2"/>
      <c r="N68" s="2">
        <v>35</v>
      </c>
      <c r="O68" s="2"/>
      <c r="P68" s="162">
        <v>35</v>
      </c>
      <c r="Q68" s="162">
        <v>60</v>
      </c>
      <c r="R68" s="2">
        <v>2</v>
      </c>
      <c r="S68" s="2">
        <v>5</v>
      </c>
      <c r="T68" s="2" t="s">
        <v>182</v>
      </c>
      <c r="U68" s="4"/>
    </row>
    <row r="69" spans="1:21" x14ac:dyDescent="0.25">
      <c r="A69" s="145"/>
      <c r="B69" s="1"/>
      <c r="D69">
        <v>11</v>
      </c>
      <c r="E69" s="166" t="s">
        <v>379</v>
      </c>
      <c r="F69" s="2"/>
      <c r="G69" s="231">
        <f t="shared" si="14"/>
        <v>16</v>
      </c>
      <c r="H69" s="168">
        <v>6</v>
      </c>
      <c r="I69" s="162"/>
      <c r="J69" s="162" t="s">
        <v>363</v>
      </c>
      <c r="K69" s="2" t="s">
        <v>32</v>
      </c>
      <c r="L69" s="162">
        <v>0.8</v>
      </c>
      <c r="M69" s="2"/>
      <c r="N69" s="2">
        <v>51</v>
      </c>
      <c r="O69" s="2"/>
      <c r="P69" s="162">
        <v>35</v>
      </c>
      <c r="Q69" s="162">
        <v>60</v>
      </c>
      <c r="R69" s="2">
        <v>2</v>
      </c>
      <c r="S69" s="2">
        <v>7</v>
      </c>
      <c r="T69" s="2" t="s">
        <v>182</v>
      </c>
      <c r="U69" s="4"/>
    </row>
    <row r="70" spans="1:21" x14ac:dyDescent="0.25">
      <c r="A70" s="145"/>
      <c r="B70" s="1"/>
      <c r="D70">
        <v>12</v>
      </c>
      <c r="E70" s="166" t="s">
        <v>380</v>
      </c>
      <c r="F70" s="2"/>
      <c r="G70" s="231">
        <f t="shared" si="14"/>
        <v>16</v>
      </c>
      <c r="H70" s="168">
        <v>9</v>
      </c>
      <c r="I70" s="162"/>
      <c r="J70" s="162" t="s">
        <v>363</v>
      </c>
      <c r="K70" s="2" t="s">
        <v>32</v>
      </c>
      <c r="L70" s="162">
        <v>0.8</v>
      </c>
      <c r="M70" s="2"/>
      <c r="N70" s="2">
        <v>70</v>
      </c>
      <c r="O70" s="2"/>
      <c r="P70" s="162">
        <v>35</v>
      </c>
      <c r="Q70" s="162">
        <v>60</v>
      </c>
      <c r="R70" s="2">
        <v>2</v>
      </c>
      <c r="S70" s="2">
        <v>18</v>
      </c>
      <c r="T70" s="2" t="s">
        <v>182</v>
      </c>
      <c r="U70" s="4"/>
    </row>
    <row r="71" spans="1:21" ht="15.75" thickBot="1" x14ac:dyDescent="0.3">
      <c r="A71" s="160"/>
      <c r="B71" s="8"/>
      <c r="D71">
        <v>13</v>
      </c>
      <c r="E71" s="166" t="s">
        <v>381</v>
      </c>
      <c r="F71" s="2"/>
      <c r="G71" s="231">
        <f t="shared" si="14"/>
        <v>16</v>
      </c>
      <c r="H71" s="168">
        <v>12</v>
      </c>
      <c r="I71" s="2"/>
      <c r="J71" s="162" t="s">
        <v>363</v>
      </c>
      <c r="K71" s="2" t="s">
        <v>32</v>
      </c>
      <c r="L71" s="162">
        <v>0.8</v>
      </c>
      <c r="M71" s="2"/>
      <c r="N71" s="2">
        <v>123</v>
      </c>
      <c r="O71" s="2"/>
      <c r="P71" s="162">
        <v>35</v>
      </c>
      <c r="Q71" s="162">
        <v>60</v>
      </c>
      <c r="R71" s="2">
        <v>2</v>
      </c>
      <c r="S71" s="2">
        <v>20</v>
      </c>
      <c r="T71" s="2" t="s">
        <v>182</v>
      </c>
      <c r="U71" s="4"/>
    </row>
    <row r="72" spans="1:21" x14ac:dyDescent="0.25">
      <c r="D72">
        <v>14</v>
      </c>
      <c r="E72" s="166" t="s">
        <v>382</v>
      </c>
      <c r="F72" s="2"/>
      <c r="G72" s="231">
        <f t="shared" si="14"/>
        <v>16</v>
      </c>
      <c r="H72" s="168">
        <v>16</v>
      </c>
      <c r="I72" s="2"/>
      <c r="J72" s="162" t="s">
        <v>363</v>
      </c>
      <c r="K72" s="2" t="s">
        <v>32</v>
      </c>
      <c r="L72" s="162">
        <v>0.8</v>
      </c>
      <c r="M72" s="2"/>
      <c r="N72" s="2">
        <v>140</v>
      </c>
      <c r="O72" s="2"/>
      <c r="P72" s="2">
        <v>35</v>
      </c>
      <c r="Q72" s="162">
        <v>60</v>
      </c>
      <c r="R72" s="2">
        <v>2</v>
      </c>
      <c r="S72" s="2">
        <v>25</v>
      </c>
      <c r="T72" s="2" t="s">
        <v>182</v>
      </c>
      <c r="U72" s="4"/>
    </row>
    <row r="73" spans="1:21" x14ac:dyDescent="0.25">
      <c r="B73" t="s">
        <v>23</v>
      </c>
      <c r="D73">
        <v>15</v>
      </c>
      <c r="E73" s="166"/>
      <c r="F73" s="2"/>
      <c r="G73" s="231">
        <f t="shared" si="14"/>
        <v>16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4"/>
    </row>
    <row r="74" spans="1:21" x14ac:dyDescent="0.25">
      <c r="A74">
        <v>1</v>
      </c>
      <c r="B74" t="s">
        <v>311</v>
      </c>
      <c r="D74">
        <v>16</v>
      </c>
      <c r="E74" s="166"/>
      <c r="F74" s="2"/>
      <c r="G74" s="231">
        <f t="shared" si="14"/>
        <v>16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4"/>
    </row>
    <row r="75" spans="1:21" ht="15.75" thickBot="1" x14ac:dyDescent="0.3">
      <c r="A75">
        <v>2</v>
      </c>
      <c r="B75" t="s">
        <v>180</v>
      </c>
      <c r="D75">
        <v>17</v>
      </c>
      <c r="E75" s="167"/>
      <c r="F75" s="5"/>
      <c r="G75" s="231">
        <f t="shared" si="14"/>
        <v>16</v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6"/>
    </row>
    <row r="76" spans="1:21" x14ac:dyDescent="0.25">
      <c r="E76" s="133" t="s">
        <v>159</v>
      </c>
      <c r="F76" s="134">
        <v>2</v>
      </c>
      <c r="G76" s="134">
        <v>3</v>
      </c>
      <c r="H76" s="134">
        <v>4</v>
      </c>
      <c r="I76" s="134">
        <v>5</v>
      </c>
      <c r="J76" s="134">
        <v>6</v>
      </c>
      <c r="K76" s="134">
        <v>7</v>
      </c>
      <c r="L76" s="134">
        <v>8</v>
      </c>
      <c r="M76" s="134">
        <v>9</v>
      </c>
      <c r="N76" s="134">
        <v>10</v>
      </c>
      <c r="O76" s="134">
        <v>11</v>
      </c>
      <c r="P76" s="134">
        <v>12</v>
      </c>
      <c r="Q76" s="134">
        <v>13</v>
      </c>
      <c r="R76" s="134">
        <v>14</v>
      </c>
      <c r="S76" s="134">
        <v>15</v>
      </c>
      <c r="T76" s="134">
        <v>16</v>
      </c>
      <c r="U76" s="135">
        <v>17</v>
      </c>
    </row>
    <row r="77" spans="1:21" x14ac:dyDescent="0.25">
      <c r="B77" t="s">
        <v>2</v>
      </c>
      <c r="D77">
        <v>1</v>
      </c>
      <c r="E77" s="132" t="s">
        <v>369</v>
      </c>
      <c r="F77" t="str">
        <f t="shared" ref="F77:Q77" si="15">VLOOKUP(F23,$A$22:$B$71,2,0)</f>
        <v>Rozvodnice nástěnná, 1x8 mod.,IP65, průhledné dveře</v>
      </c>
      <c r="G77" t="str">
        <f t="shared" si="15"/>
        <v>Svodič přepětí pro fotovoltaiku T1/2, 12,5 kA, modulový</v>
      </c>
      <c r="H77" t="str">
        <f t="shared" si="15"/>
        <v>Zámek pro rozvodnice BK05 , krytí IP65</v>
      </c>
      <c r="I77" t="str">
        <f t="shared" si="15"/>
        <v>Řadová svorka CBC.10 modrá, 10mm²</v>
      </c>
      <c r="J77" t="str">
        <f t="shared" si="15"/>
        <v>Řadová svorka CBC.10 šedá, 10mm²</v>
      </c>
      <c r="K77" t="str">
        <f t="shared" si="15"/>
        <v>Koncová deska CBC 2,5-10mm², šedá</v>
      </c>
      <c r="L77" t="str">
        <f t="shared" si="15"/>
        <v>Vývodka M20x1,5 bez matice, 6-12 mm, RAL 7035</v>
      </c>
      <c r="M77" t="str">
        <f t="shared" si="15"/>
        <v>Pojistka 10x38, 16A, gPV</v>
      </c>
      <c r="N77" t="str">
        <f t="shared" si="15"/>
        <v>Pojistkový odpojovač 10x38mm, 2pólový, 25A, fotovoltaika</v>
      </c>
      <c r="O77" t="str">
        <f t="shared" si="15"/>
        <v>Matice M20X1.5</v>
      </c>
      <c r="P77" t="str">
        <f t="shared" si="15"/>
        <v>Koncová svorka TS 35</v>
      </c>
      <c r="Q77" t="str">
        <f t="shared" si="15"/>
        <v>Samolepka PV symbol na fotovoltaiku</v>
      </c>
      <c r="U77" s="1"/>
    </row>
    <row r="78" spans="1:21" x14ac:dyDescent="0.25">
      <c r="B78" t="s">
        <v>323</v>
      </c>
      <c r="D78">
        <v>2</v>
      </c>
      <c r="E78" s="132" t="s">
        <v>370</v>
      </c>
      <c r="F78" t="str">
        <f t="shared" ref="F78:G90" si="16">VLOOKUP(F24,$A$22:$B$71,2,0)</f>
        <v>Rozvodnice nástěnná, 1x12 mod.,IP65, průhledné dveře</v>
      </c>
      <c r="G78" t="str">
        <f t="shared" si="16"/>
        <v>Svodič přepětí pro fotovoltaiku T1/2, 12,5 kA, modulový</v>
      </c>
      <c r="H78" t="str">
        <f t="shared" ref="H78:Q78" si="17">VLOOKUP(H24,$A$22:$B$71,2,0)</f>
        <v>Zámek pro rozvodnice BK05 , krytí IP65</v>
      </c>
      <c r="I78" t="str">
        <f t="shared" si="17"/>
        <v>Řadová svorka CBC.10 modrá, 10mm²</v>
      </c>
      <c r="J78" t="str">
        <f t="shared" si="17"/>
        <v>Řadová svorka CBC.10 šedá, 10mm²</v>
      </c>
      <c r="K78" t="str">
        <f t="shared" si="17"/>
        <v>Koncová deska CBC 2,5-10mm², šedá</v>
      </c>
      <c r="L78" t="str">
        <f t="shared" si="17"/>
        <v>Vývodka M20x1,5 bez matice, 6-12 mm, RAL 7035</v>
      </c>
      <c r="M78" t="str">
        <f t="shared" si="17"/>
        <v>Pojistka 10x38, 16A, gPV</v>
      </c>
      <c r="N78" t="str">
        <f t="shared" si="17"/>
        <v>Pojistkový odpojovač 10x38mm, 2pólový, 25A, fotovoltaika</v>
      </c>
      <c r="O78" t="str">
        <f t="shared" si="17"/>
        <v>Matice M20X1.5</v>
      </c>
      <c r="P78" t="str">
        <f t="shared" si="17"/>
        <v>Koncová svorka TS 35</v>
      </c>
      <c r="Q78" t="str">
        <f t="shared" si="17"/>
        <v>Samolepka PV symbol na fotovoltaiku</v>
      </c>
      <c r="U78" s="1"/>
    </row>
    <row r="79" spans="1:21" x14ac:dyDescent="0.25">
      <c r="B79" t="s">
        <v>324</v>
      </c>
      <c r="D79">
        <v>3</v>
      </c>
      <c r="E79" s="132" t="s">
        <v>371</v>
      </c>
      <c r="F79" t="str">
        <f t="shared" si="16"/>
        <v>Rozvodnice nástěnná, 1x18 mod.,IP65, průhledné dveře</v>
      </c>
      <c r="G79" t="str">
        <f t="shared" si="16"/>
        <v>Svodič přepětí pro fotovoltaiku T1/2, 12,5 kA, modulový</v>
      </c>
      <c r="H79" t="str">
        <f t="shared" ref="H79:Q79" si="18">VLOOKUP(H25,$A$22:$B$71,2,0)</f>
        <v>Zámek pro rozvodnice BK05 , krytí IP65</v>
      </c>
      <c r="I79" t="str">
        <f t="shared" si="18"/>
        <v>Řadová svorka CBC.10 modrá, 10mm²</v>
      </c>
      <c r="J79" t="str">
        <f t="shared" si="18"/>
        <v>Řadová svorka CBC.10 šedá, 10mm²</v>
      </c>
      <c r="K79" t="str">
        <f t="shared" si="18"/>
        <v>Koncová deska CBC 2,5-10mm², šedá</v>
      </c>
      <c r="L79" t="str">
        <f t="shared" si="18"/>
        <v>Vývodka M20x1,5 bez matice, 6-12 mm, RAL 7035</v>
      </c>
      <c r="M79" t="str">
        <f t="shared" si="18"/>
        <v>Pojistka 10x38, 16A, gPV</v>
      </c>
      <c r="N79" t="str">
        <f t="shared" si="18"/>
        <v>Pojistkový odpojovač 10x38mm, 2pólový, 25A, fotovoltaika</v>
      </c>
      <c r="O79" t="str">
        <f t="shared" si="18"/>
        <v>Matice M20X1.5</v>
      </c>
      <c r="P79" t="str">
        <f t="shared" si="18"/>
        <v>Koncová svorka TS 35</v>
      </c>
      <c r="Q79" t="str">
        <f t="shared" si="18"/>
        <v>Samolepka PV symbol na fotovoltaiku</v>
      </c>
      <c r="U79" s="1"/>
    </row>
    <row r="80" spans="1:21" x14ac:dyDescent="0.25">
      <c r="B80" t="s">
        <v>325</v>
      </c>
      <c r="D80">
        <v>4</v>
      </c>
      <c r="E80" s="132" t="s">
        <v>372</v>
      </c>
      <c r="F80" t="str">
        <f t="shared" si="16"/>
        <v>Rozvodnice nástěnná, 2x12 mod.,IP65, průhledné dveře</v>
      </c>
      <c r="G80" t="str">
        <f t="shared" si="16"/>
        <v>Svodič přepětí pro fotovoltaiku T1/2, 12,5 kA, modulový</v>
      </c>
      <c r="H80" t="str">
        <f t="shared" ref="H80:Q80" si="19">VLOOKUP(H26,$A$22:$B$71,2,0)</f>
        <v>Zámek pro rozvodnice BK05 , krytí IP65</v>
      </c>
      <c r="I80" t="str">
        <f t="shared" si="19"/>
        <v>Řadová svorka CBC.10 modrá, 10mm²</v>
      </c>
      <c r="J80" t="str">
        <f t="shared" si="19"/>
        <v>Řadová svorka CBC.10 šedá, 10mm²</v>
      </c>
      <c r="K80" t="str">
        <f t="shared" si="19"/>
        <v>Koncová deska CBC 2,5-10mm², šedá</v>
      </c>
      <c r="L80" t="str">
        <f t="shared" si="19"/>
        <v>Vývodka M20x1,5 bez matice, 6-12 mm, RAL 7035</v>
      </c>
      <c r="M80" t="str">
        <f t="shared" si="19"/>
        <v>Pojistka 10x38, 16A, gPV</v>
      </c>
      <c r="N80" t="str">
        <f t="shared" si="19"/>
        <v>Pojistkový odpojovač 10x38mm, 2pólový, 25A, fotovoltaika</v>
      </c>
      <c r="O80" t="str">
        <f t="shared" si="19"/>
        <v>Matice M20X1.5</v>
      </c>
      <c r="P80" t="str">
        <f t="shared" si="19"/>
        <v>Koncová svorka TS 35</v>
      </c>
      <c r="Q80" t="str">
        <f t="shared" si="19"/>
        <v>Samolepka PV symbol na fotovoltaiku</v>
      </c>
      <c r="U80" s="1"/>
    </row>
    <row r="81" spans="4:21" x14ac:dyDescent="0.25">
      <c r="D81">
        <v>5</v>
      </c>
      <c r="E81" s="132" t="s">
        <v>373</v>
      </c>
      <c r="F81" t="str">
        <f t="shared" si="16"/>
        <v>Rozvodnice nástěnná, 3x12mod.,IP65, průhledné dveře</v>
      </c>
      <c r="G81" t="str">
        <f t="shared" si="16"/>
        <v>Svodič přepětí pro fotovoltaiku T1/2, 12,5 kA, modulový</v>
      </c>
      <c r="H81" t="str">
        <f t="shared" ref="H81:Q81" si="20">VLOOKUP(H27,$A$22:$B$71,2,0)</f>
        <v>Zámek pro rozvodnice BK05 , krytí IP65</v>
      </c>
      <c r="I81" t="str">
        <f t="shared" si="20"/>
        <v>Řadová svorka CBC.10 modrá, 10mm²</v>
      </c>
      <c r="J81" t="str">
        <f t="shared" si="20"/>
        <v>Řadová svorka CBC.10 šedá, 10mm²</v>
      </c>
      <c r="K81" t="str">
        <f t="shared" si="20"/>
        <v>Koncová deska CBC 2,5-10mm², šedá</v>
      </c>
      <c r="L81" t="str">
        <f t="shared" si="20"/>
        <v>Vývodka M20x1,5 bez matice, 6-12 mm, RAL 7035</v>
      </c>
      <c r="M81" t="str">
        <f t="shared" si="20"/>
        <v>Pojistka 10x38, 16A, gPV</v>
      </c>
      <c r="N81" t="str">
        <f t="shared" si="20"/>
        <v>Pojistkový odpojovač 10x38mm, 2pólový, 25A, fotovoltaika</v>
      </c>
      <c r="O81" t="str">
        <f t="shared" si="20"/>
        <v>Matice M20X1.5</v>
      </c>
      <c r="P81" t="str">
        <f t="shared" si="20"/>
        <v>Koncová svorka TS 35</v>
      </c>
      <c r="Q81" t="str">
        <f t="shared" si="20"/>
        <v>Samolepka PV symbol na fotovoltaiku</v>
      </c>
      <c r="U81" s="1"/>
    </row>
    <row r="82" spans="4:21" x14ac:dyDescent="0.25">
      <c r="D82">
        <v>6</v>
      </c>
      <c r="E82" s="132" t="s">
        <v>374</v>
      </c>
      <c r="F82" t="str">
        <f t="shared" si="16"/>
        <v>Rozvodnice nástěnná, 3x12mod.,IP65, průhledné dveře</v>
      </c>
      <c r="G82" t="str">
        <f t="shared" si="16"/>
        <v>Svodič přepětí pro fotovoltaiku T1/2, 12,5 kA, modulový</v>
      </c>
      <c r="H82" t="str">
        <f t="shared" ref="H82:Q82" si="21">VLOOKUP(H28,$A$22:$B$71,2,0)</f>
        <v>Zámek pro rozvodnice BK05 , krytí IP65</v>
      </c>
      <c r="I82" t="str">
        <f t="shared" si="21"/>
        <v>Řadová svorka CBC.10 modrá, 10mm²</v>
      </c>
      <c r="J82" t="str">
        <f t="shared" si="21"/>
        <v>Řadová svorka CBC.10 šedá, 10mm²</v>
      </c>
      <c r="K82" t="str">
        <f t="shared" si="21"/>
        <v>Koncová deska CBC 2,5-10mm², šedá</v>
      </c>
      <c r="L82" t="str">
        <f t="shared" si="21"/>
        <v>Vývodka M20x1,5 bez matice, 6-12 mm, RAL 7035</v>
      </c>
      <c r="M82" t="str">
        <f t="shared" si="21"/>
        <v>Pojistka 10x38, 16A, gPV</v>
      </c>
      <c r="N82" t="str">
        <f t="shared" si="21"/>
        <v>Pojistkový odpojovač 10x38mm, 2pólový, 25A, fotovoltaika</v>
      </c>
      <c r="O82" t="str">
        <f t="shared" si="21"/>
        <v>Matice M20X1.5</v>
      </c>
      <c r="P82" t="str">
        <f t="shared" si="21"/>
        <v>Koncová svorka TS 35</v>
      </c>
      <c r="Q82" t="str">
        <f t="shared" si="21"/>
        <v>Samolepka PV symbol na fotovoltaiku</v>
      </c>
      <c r="U82" s="1"/>
    </row>
    <row r="83" spans="4:21" x14ac:dyDescent="0.25">
      <c r="D83">
        <v>7</v>
      </c>
      <c r="E83" s="132" t="s">
        <v>375</v>
      </c>
      <c r="F83" t="str">
        <f t="shared" si="16"/>
        <v>Rozvodnice nástěnná, 3x18 mod.,IP65, průhledné dveře</v>
      </c>
      <c r="G83" t="str">
        <f t="shared" si="16"/>
        <v>Svodič přepětí pro fotovoltaiku T1/2, 12,5 kA, modulový</v>
      </c>
      <c r="H83" t="str">
        <f t="shared" ref="H83:Q83" si="22">VLOOKUP(H29,$A$22:$B$71,2,0)</f>
        <v>Zámek pro rozvodnice BK05 , krytí IP65</v>
      </c>
      <c r="I83" t="str">
        <f t="shared" si="22"/>
        <v>Řadová svorka CBC.10 modrá, 10mm²</v>
      </c>
      <c r="J83" t="str">
        <f t="shared" si="22"/>
        <v>Řadová svorka CBC.10 šedá, 10mm²</v>
      </c>
      <c r="K83" t="str">
        <f t="shared" si="22"/>
        <v>Koncová deska CBC 2,5-10mm², šedá</v>
      </c>
      <c r="L83" t="str">
        <f t="shared" si="22"/>
        <v>Vývodka M20x1,5 bez matice, 6-12 mm, RAL 7035</v>
      </c>
      <c r="M83" t="str">
        <f t="shared" si="22"/>
        <v>Pojistka 10x38, 16A, gPV</v>
      </c>
      <c r="N83" t="str">
        <f t="shared" si="22"/>
        <v>Pojistkový odpojovač 10x38mm, 2pólový, 25A, fotovoltaika</v>
      </c>
      <c r="O83" t="str">
        <f t="shared" si="22"/>
        <v>Matice M20X1.5</v>
      </c>
      <c r="P83" t="str">
        <f t="shared" si="22"/>
        <v>Koncová svorka TS 35</v>
      </c>
      <c r="Q83" t="str">
        <f t="shared" si="22"/>
        <v>Samolepka PV symbol na fotovoltaiku</v>
      </c>
      <c r="U83" s="1"/>
    </row>
    <row r="84" spans="4:21" x14ac:dyDescent="0.25">
      <c r="D84">
        <v>8</v>
      </c>
      <c r="E84" s="132" t="s">
        <v>376</v>
      </c>
      <c r="F84" t="str">
        <f t="shared" si="16"/>
        <v>Rozvodnice nástěnná, 3x18 mod.,IP65, průhledné dveře</v>
      </c>
      <c r="G84" t="str">
        <f t="shared" si="16"/>
        <v>Svodič přepětí pro fotovoltaiku T1/2, 12,5 kA, modulový</v>
      </c>
      <c r="H84" t="str">
        <f t="shared" ref="H84:Q84" si="23">VLOOKUP(H30,$A$22:$B$71,2,0)</f>
        <v>Zámek pro rozvodnice BK05 , krytí IP65</v>
      </c>
      <c r="I84" t="str">
        <f t="shared" si="23"/>
        <v>Řadová svorka CBC.10 modrá, 10mm²</v>
      </c>
      <c r="J84" t="str">
        <f t="shared" si="23"/>
        <v>Řadová svorka CBC.10 šedá, 10mm²</v>
      </c>
      <c r="K84" t="str">
        <f t="shared" si="23"/>
        <v>Koncová deska CBC 2,5-10mm², šedá</v>
      </c>
      <c r="L84" t="str">
        <f t="shared" si="23"/>
        <v>Vývodka M20x1,5 bez matice, 6-12 mm, RAL 7035</v>
      </c>
      <c r="M84" t="str">
        <f t="shared" si="23"/>
        <v>Pojistka 10x38, 16A, gPV</v>
      </c>
      <c r="N84" t="str">
        <f t="shared" si="23"/>
        <v>Pojistkový odpojovač 10x38mm, 2pólový, 25A, fotovoltaika</v>
      </c>
      <c r="O84" t="str">
        <f t="shared" si="23"/>
        <v>Matice M20X1.5</v>
      </c>
      <c r="P84" t="str">
        <f t="shared" si="23"/>
        <v>Koncová svorka TS 35</v>
      </c>
      <c r="Q84" t="str">
        <f t="shared" si="23"/>
        <v>Samolepka PV symbol na fotovoltaiku</v>
      </c>
      <c r="U84" s="1"/>
    </row>
    <row r="85" spans="4:21" x14ac:dyDescent="0.25">
      <c r="D85">
        <v>9</v>
      </c>
      <c r="E85" s="161" t="s">
        <v>377</v>
      </c>
      <c r="F85" t="str">
        <f t="shared" si="16"/>
        <v>Polyesterová skříň Minipol, výsuvná klika, 400x300x200</v>
      </c>
      <c r="G85" t="str">
        <f t="shared" si="16"/>
        <v>Svodič přepětí pro fotovoltaiku T1/2, 12,5 kA, modulový</v>
      </c>
      <c r="H85" t="str">
        <f t="shared" ref="H85:Q85" si="24">VLOOKUP(H31,$A$22:$B$71,2,0)</f>
        <v>Cylindrická půlvložka EMKA 333 typu FAB, 1 klíč</v>
      </c>
      <c r="I85" t="str">
        <f t="shared" si="24"/>
        <v>Řadová svorka CBC.10 modrá, 10mm²</v>
      </c>
      <c r="J85" t="str">
        <f t="shared" si="24"/>
        <v>Řadová svorka CBC.10 šedá, 10mm²</v>
      </c>
      <c r="K85" t="str">
        <f t="shared" si="24"/>
        <v>Koncová deska CBC 2,5-10mm², šedá</v>
      </c>
      <c r="L85" t="str">
        <f t="shared" si="24"/>
        <v>Vývodka M20x1,5 bez matice, 6-12 mm, RAL 7035</v>
      </c>
      <c r="M85" t="str">
        <f t="shared" si="24"/>
        <v>Pojistka 10x38, 16A, gPV</v>
      </c>
      <c r="N85" t="str">
        <f t="shared" si="24"/>
        <v>Pojistkový odpojovač 10x38mm, 2pólový, 25A, fotovoltaika</v>
      </c>
      <c r="O85" t="str">
        <f t="shared" si="24"/>
        <v>Matice M20X1.5</v>
      </c>
      <c r="P85" t="str">
        <f t="shared" si="24"/>
        <v>Koncová svorka TS 35</v>
      </c>
      <c r="Q85" t="str">
        <f t="shared" si="24"/>
        <v>Samolepka PV symbol na fotovoltaiku</v>
      </c>
      <c r="R85" t="str">
        <f t="shared" ref="R85:S90" si="25">VLOOKUP(R31,$A$22:$B$71,2,0)</f>
        <v>Instalační konstrukce Minipol, 400x300, 2x12, 24 modulů</v>
      </c>
      <c r="S85" t="str">
        <f t="shared" si="25"/>
        <v>1polová odbočná svorka PE 192A, vs. 35+70mm², výs.6x16mm²</v>
      </c>
      <c r="U85" s="1"/>
    </row>
    <row r="86" spans="4:21" x14ac:dyDescent="0.25">
      <c r="D86">
        <v>10</v>
      </c>
      <c r="E86" s="161" t="s">
        <v>378</v>
      </c>
      <c r="F86" t="str">
        <f t="shared" si="16"/>
        <v>Polyesterová skříň Minipol, výsuvná klika, 400x300x200</v>
      </c>
      <c r="G86" t="str">
        <f t="shared" si="16"/>
        <v>Svodič přepětí pro fotovoltaiku T1/2, 12,5 kA, modulový</v>
      </c>
      <c r="H86" t="str">
        <f t="shared" ref="H86:Q86" si="26">VLOOKUP(H32,$A$22:$B$71,2,0)</f>
        <v>Cylindrická půlvložka EMKA 333 typu FAB, 1 klíč</v>
      </c>
      <c r="I86" t="str">
        <f t="shared" si="26"/>
        <v>Řadová svorka CBC.10 modrá, 10mm²</v>
      </c>
      <c r="J86" t="str">
        <f t="shared" si="26"/>
        <v>Řadová svorka CBC.10 šedá, 10mm²</v>
      </c>
      <c r="K86" t="str">
        <f t="shared" si="26"/>
        <v>Koncová deska CBC 2,5-10mm², šedá</v>
      </c>
      <c r="L86" t="str">
        <f t="shared" si="26"/>
        <v>Vývodka M20x1,5 bez matice, 6-12 mm, RAL 7035</v>
      </c>
      <c r="M86" t="str">
        <f t="shared" si="26"/>
        <v>Pojistka 10x38, 16A, gPV</v>
      </c>
      <c r="N86" t="str">
        <f t="shared" si="26"/>
        <v>Pojistkový odpojovač 10x38mm, 2pólový, 25A, fotovoltaika</v>
      </c>
      <c r="O86" t="str">
        <f t="shared" si="26"/>
        <v>Matice M20X1.5</v>
      </c>
      <c r="P86" t="str">
        <f t="shared" si="26"/>
        <v>Koncová svorka TS 35</v>
      </c>
      <c r="Q86" t="str">
        <f t="shared" si="26"/>
        <v>Samolepka PV symbol na fotovoltaiku</v>
      </c>
      <c r="R86" t="str">
        <f t="shared" si="25"/>
        <v>Instalační konstrukce Minipol, 400x300, 2x12, 24 modulů</v>
      </c>
      <c r="S86" t="str">
        <f t="shared" si="25"/>
        <v>1polová odbočná svorka PE 192A, vs. 35+70mm², výs.6x16mm²</v>
      </c>
      <c r="U86" s="1"/>
    </row>
    <row r="87" spans="4:21" x14ac:dyDescent="0.25">
      <c r="D87">
        <v>11</v>
      </c>
      <c r="E87" s="161" t="s">
        <v>379</v>
      </c>
      <c r="F87" t="str">
        <f t="shared" si="16"/>
        <v>Polyesterová skříň Minipol, výsuvná klika, 500x400x200</v>
      </c>
      <c r="G87" t="str">
        <f t="shared" si="16"/>
        <v>Svodič přepětí pro fotovoltaiku T1/2, 12,5 kA, modulový</v>
      </c>
      <c r="H87" t="str">
        <f t="shared" ref="H87:Q87" si="27">VLOOKUP(H33,$A$22:$B$71,2,0)</f>
        <v>Cylindrická půlvložka EMKA 333 typu FAB, 1 klíč</v>
      </c>
      <c r="I87" t="str">
        <f t="shared" si="27"/>
        <v>Řadová svorka CBC.10 modrá, 10mm²</v>
      </c>
      <c r="J87" t="str">
        <f t="shared" si="27"/>
        <v>Řadová svorka CBC.10 šedá, 10mm²</v>
      </c>
      <c r="K87" t="str">
        <f t="shared" si="27"/>
        <v>Koncová deska CBC 2,5-10mm², šedá</v>
      </c>
      <c r="L87" t="str">
        <f t="shared" si="27"/>
        <v>Vývodka M20x1,5 bez matice, 6-12 mm, RAL 7035</v>
      </c>
      <c r="M87" t="str">
        <f t="shared" si="27"/>
        <v>Pojistka 10x38, 16A, gPV</v>
      </c>
      <c r="N87" t="str">
        <f t="shared" si="27"/>
        <v>Pojistkový odpojovač 10x38mm, 2pólový, 25A, fotovoltaika</v>
      </c>
      <c r="O87" t="str">
        <f t="shared" si="27"/>
        <v>Matice M20X1.5</v>
      </c>
      <c r="P87" t="str">
        <f t="shared" si="27"/>
        <v>Koncová svorka TS 35</v>
      </c>
      <c r="Q87" t="str">
        <f t="shared" si="27"/>
        <v>Samolepka PV symbol na fotovoltaiku</v>
      </c>
      <c r="R87" t="str">
        <f t="shared" si="25"/>
        <v>Instalační konstrukce Minipol, 500x400, 3x18, 54 modulů</v>
      </c>
      <c r="S87" t="str">
        <f t="shared" si="25"/>
        <v>1polová odbočná svorka PE 192A, vs. 35+70mm², výs.6x16mm²</v>
      </c>
      <c r="T87" s="172" t="str">
        <f>IF(Zadání!C28&lt;Zadání!C29,VLOOKUP(T33,$A$22:$B$71,2,0),"")</f>
        <v/>
      </c>
      <c r="U87" s="242" t="str">
        <f>IF(Zadání!C28&lt;Zadání!C29,VLOOKUP(U33,$A$22:$B$71,2,0),"")</f>
        <v/>
      </c>
    </row>
    <row r="88" spans="4:21" x14ac:dyDescent="0.25">
      <c r="D88">
        <v>12</v>
      </c>
      <c r="E88" s="161" t="s">
        <v>380</v>
      </c>
      <c r="F88" t="str">
        <f t="shared" si="16"/>
        <v>Polyesterová skříň Minipol, výsuvná klika, 600x400x230</v>
      </c>
      <c r="G88" t="str">
        <f t="shared" si="16"/>
        <v>Svodič přepětí pro fotovoltaiku T1/2, 12,5 kA, modulový</v>
      </c>
      <c r="H88" t="str">
        <f t="shared" ref="H88:Q88" si="28">VLOOKUP(H34,$A$22:$B$71,2,0)</f>
        <v>Cylindrická půlvložka EMKA 333 typu FAB, 1 klíč</v>
      </c>
      <c r="I88" t="str">
        <f t="shared" si="28"/>
        <v>Řadová svorka CBC.10 modrá, 10mm²</v>
      </c>
      <c r="J88" t="str">
        <f t="shared" si="28"/>
        <v>Řadová svorka CBC.10 šedá, 10mm²</v>
      </c>
      <c r="K88" t="str">
        <f t="shared" si="28"/>
        <v>Koncová deska CBC 2,5-10mm², šedá</v>
      </c>
      <c r="L88" t="str">
        <f t="shared" si="28"/>
        <v>Vývodka M20x1,5 bez matice, 6-12 mm, RAL 7035</v>
      </c>
      <c r="M88" t="str">
        <f t="shared" si="28"/>
        <v>Pojistka 10x38, 16A, gPV</v>
      </c>
      <c r="N88" t="str">
        <f t="shared" si="28"/>
        <v>Pojistkový odpojovač 10x38mm, 2pólový, 25A, fotovoltaika</v>
      </c>
      <c r="O88" t="str">
        <f t="shared" si="28"/>
        <v>Matice M20X1.5</v>
      </c>
      <c r="P88" t="str">
        <f t="shared" si="28"/>
        <v>Koncová svorka TS 35</v>
      </c>
      <c r="Q88" t="str">
        <f t="shared" si="28"/>
        <v>Samolepka PV symbol na fotovoltaiku</v>
      </c>
      <c r="R88" t="str">
        <f t="shared" si="25"/>
        <v>Instalační konstrukce Minipol, 600x400, 3x18, 54 modulů</v>
      </c>
      <c r="S88" t="str">
        <f t="shared" si="25"/>
        <v>1polová odbočná svorka PE 192A, vs. 35+70mm², výs.6x16mm²</v>
      </c>
      <c r="T88" s="172" t="str">
        <f>IF(Zadání!C28&lt;Zadání!C29,VLOOKUP(T34,$A$22:$B$71,2,0),"")</f>
        <v/>
      </c>
      <c r="U88" s="242" t="str">
        <f>IF(Zadání!C28&lt;Zadání!C29,VLOOKUP(U34,$A$22:$B$71,2,0),"")</f>
        <v/>
      </c>
    </row>
    <row r="89" spans="4:21" x14ac:dyDescent="0.25">
      <c r="D89">
        <v>13</v>
      </c>
      <c r="E89" s="161" t="s">
        <v>381</v>
      </c>
      <c r="F89" t="str">
        <f t="shared" si="16"/>
        <v>Polyesterová skříň Minipol, výsuvná klika, 800x600x300</v>
      </c>
      <c r="G89" t="str">
        <f t="shared" si="16"/>
        <v>Svodič přepětí pro fotovoltaiku T1/2, 12,5 kA, modulový</v>
      </c>
      <c r="H89" t="str">
        <f t="shared" ref="H89:Q89" si="29">VLOOKUP(H35,$A$22:$B$71,2,0)</f>
        <v>Cylindrická půlvložka EMKA 333 typu FAB, 1 klíč</v>
      </c>
      <c r="I89" t="str">
        <f t="shared" si="29"/>
        <v>Řadová svorka CBC.10 modrá, 10mm²</v>
      </c>
      <c r="J89" t="str">
        <f t="shared" si="29"/>
        <v>Řadová svorka CBC.10 šedá, 10mm²</v>
      </c>
      <c r="K89" t="str">
        <f t="shared" si="29"/>
        <v>Koncová deska CBC 2,5-10mm², šedá</v>
      </c>
      <c r="L89" t="str">
        <f t="shared" si="29"/>
        <v>Vývodka M20x1,5 bez matice, 6-12 mm, RAL 7035</v>
      </c>
      <c r="M89" t="str">
        <f t="shared" si="29"/>
        <v>Pojistka 10x38, 16A, gPV</v>
      </c>
      <c r="N89" t="str">
        <f t="shared" si="29"/>
        <v>Pojistkový odpojovač 10x38mm, 2pólový, 25A, fotovoltaika</v>
      </c>
      <c r="O89" t="str">
        <f t="shared" si="29"/>
        <v>Matice M20X1.5</v>
      </c>
      <c r="P89" t="str">
        <f t="shared" si="29"/>
        <v>Koncová svorka TS 35</v>
      </c>
      <c r="Q89" t="str">
        <f t="shared" si="29"/>
        <v>Samolepka PV symbol na fotovoltaiku</v>
      </c>
      <c r="R89" t="str">
        <f t="shared" si="25"/>
        <v>Instalační konstrukce Minipol, 800x600, 5x29, 145 modulů</v>
      </c>
      <c r="S89" t="str">
        <f t="shared" si="25"/>
        <v>1polová odbočná svorka PE 192A, vs. 35+70mm², výs.6x16mm²</v>
      </c>
      <c r="T89" s="172" t="str">
        <f>IF(Zadání!C28&lt;Zadání!C29,VLOOKUP(T35,$A$22:$B$71,2,0),"")</f>
        <v/>
      </c>
      <c r="U89" s="242" t="str">
        <f>IF(Zadání!C28&lt;Zadání!C29,VLOOKUP(U35,$A$22:$B$71,2,0),"")</f>
        <v/>
      </c>
    </row>
    <row r="90" spans="4:21" x14ac:dyDescent="0.25">
      <c r="D90">
        <v>14</v>
      </c>
      <c r="E90" s="161" t="s">
        <v>382</v>
      </c>
      <c r="F90" t="str">
        <f t="shared" si="16"/>
        <v>Polyesterová skříň Minipol, výsuvná klika, 800x600x300</v>
      </c>
      <c r="G90" t="str">
        <f t="shared" si="16"/>
        <v>Svodič přepětí pro fotovoltaiku T1/2, 12,5 kA, modulový</v>
      </c>
      <c r="H90" t="str">
        <f t="shared" ref="H90:Q90" si="30">VLOOKUP(H36,$A$22:$B$71,2,0)</f>
        <v>Cylindrická půlvložka EMKA 333 typu FAB, 1 klíč</v>
      </c>
      <c r="I90" t="str">
        <f t="shared" si="30"/>
        <v>Řadová svorka CBC.10 modrá, 10mm²</v>
      </c>
      <c r="J90" t="str">
        <f t="shared" si="30"/>
        <v>Řadová svorka CBC.10 šedá, 10mm²</v>
      </c>
      <c r="K90" t="str">
        <f t="shared" si="30"/>
        <v>Koncová deska CBC 2,5-10mm², šedá</v>
      </c>
      <c r="L90" t="str">
        <f t="shared" si="30"/>
        <v>Vývodka M20x1,5 bez matice, 6-12 mm, RAL 7035</v>
      </c>
      <c r="M90" t="str">
        <f t="shared" si="30"/>
        <v>Pojistka 10x38, 16A, gPV</v>
      </c>
      <c r="N90" t="str">
        <f t="shared" si="30"/>
        <v>Pojistkový odpojovač 10x38mm, 2pólový, 25A, fotovoltaika</v>
      </c>
      <c r="O90" t="str">
        <f t="shared" si="30"/>
        <v>Matice M20X1.5</v>
      </c>
      <c r="P90" t="str">
        <f t="shared" si="30"/>
        <v>Koncová svorka TS 35</v>
      </c>
      <c r="Q90" t="str">
        <f t="shared" si="30"/>
        <v>Samolepka PV symbol na fotovoltaiku</v>
      </c>
      <c r="R90" t="str">
        <f t="shared" si="25"/>
        <v>Instalační konstrukce Minipol, 800x600, 5x29, 145 modulů</v>
      </c>
      <c r="S90" t="str">
        <f t="shared" si="25"/>
        <v>1polová odbočná svorka PE 192A, vs. 35+70mm², výs.6x16mm²</v>
      </c>
      <c r="U90" s="1"/>
    </row>
    <row r="91" spans="4:21" x14ac:dyDescent="0.25">
      <c r="D91">
        <v>15</v>
      </c>
      <c r="E91" s="132"/>
      <c r="G91" t="str">
        <f t="shared" ref="G91:G93" si="31">VLOOKUP(G37,$A$22:$B$71,2,0)</f>
        <v>Svodič přepětí pro fotovoltaiku T1/2, 12,5 kA, modulový</v>
      </c>
      <c r="U91" s="1"/>
    </row>
    <row r="92" spans="4:21" x14ac:dyDescent="0.25">
      <c r="D92">
        <v>16</v>
      </c>
      <c r="E92" s="132"/>
      <c r="G92" t="str">
        <f t="shared" si="31"/>
        <v>Svodič přepětí pro fotovoltaiku T1/2, 12,5 kA, modulový</v>
      </c>
      <c r="U92" s="1"/>
    </row>
    <row r="93" spans="4:21" ht="15.75" thickBot="1" x14ac:dyDescent="0.3">
      <c r="D93">
        <v>17</v>
      </c>
      <c r="E93" s="196"/>
      <c r="F93" s="9"/>
      <c r="G93" t="str">
        <f t="shared" si="31"/>
        <v>Svodič přepětí pro fotovoltaiku T1/2, 12,5 kA, modulový</v>
      </c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8"/>
    </row>
  </sheetData>
  <phoneticPr fontId="44" type="noConversion"/>
  <conditionalFormatting sqref="Y8:Y13">
    <cfRule type="duplicateValues" dxfId="14" priority="4"/>
  </conditionalFormatting>
  <conditionalFormatting sqref="Y8:Y13">
    <cfRule type="duplicateValues" dxfId="13" priority="5" stopIfTrue="1"/>
  </conditionalFormatting>
  <conditionalFormatting sqref="Y8:Y13">
    <cfRule type="duplicateValues" dxfId="12" priority="6" stopIfTrue="1"/>
  </conditionalFormatting>
  <pageMargins left="0.7" right="0.7" top="0.78740157499999996" bottom="0.78740157499999996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6"/>
  <dimension ref="B1:G40"/>
  <sheetViews>
    <sheetView tabSelected="1" zoomScaleNormal="100" workbookViewId="0">
      <selection activeCell="F8" sqref="F8:F11"/>
    </sheetView>
  </sheetViews>
  <sheetFormatPr defaultRowHeight="15" x14ac:dyDescent="0.25"/>
  <cols>
    <col min="2" max="2" width="29.5703125" customWidth="1"/>
    <col min="3" max="3" width="51" customWidth="1"/>
    <col min="6" max="6" width="67" customWidth="1"/>
    <col min="7" max="7" width="14.140625" bestFit="1" customWidth="1"/>
    <col min="11" max="11" width="17.7109375" bestFit="1" customWidth="1"/>
  </cols>
  <sheetData>
    <row r="1" spans="2:6" x14ac:dyDescent="0.25">
      <c r="B1" s="256" t="s">
        <v>110</v>
      </c>
      <c r="C1" s="13"/>
    </row>
    <row r="2" spans="2:6" x14ac:dyDescent="0.25">
      <c r="B2" s="257" t="s">
        <v>166</v>
      </c>
      <c r="C2" s="13" t="str">
        <f>'Zdrojová data'!S16</f>
        <v>F-05-1-1A8-16/1000-1/3/12-S</v>
      </c>
      <c r="E2" s="13"/>
      <c r="F2" s="13" t="s">
        <v>314</v>
      </c>
    </row>
    <row r="3" spans="2:6" x14ac:dyDescent="0.25">
      <c r="B3" s="13"/>
      <c r="C3" s="13"/>
      <c r="E3" s="13"/>
      <c r="F3" s="13"/>
    </row>
    <row r="4" spans="2:6" x14ac:dyDescent="0.25">
      <c r="B4" s="258" t="s">
        <v>154</v>
      </c>
      <c r="C4" s="13"/>
      <c r="E4" s="259" t="s">
        <v>315</v>
      </c>
      <c r="F4" s="13" t="s">
        <v>404</v>
      </c>
    </row>
    <row r="5" spans="2:6" x14ac:dyDescent="0.25">
      <c r="B5" s="275" t="s">
        <v>400</v>
      </c>
      <c r="C5" s="275"/>
      <c r="E5" s="259" t="s">
        <v>316</v>
      </c>
      <c r="F5" s="13" t="s">
        <v>405</v>
      </c>
    </row>
    <row r="6" spans="2:6" x14ac:dyDescent="0.25">
      <c r="E6" s="259" t="s">
        <v>317</v>
      </c>
      <c r="F6" s="13" t="s">
        <v>347</v>
      </c>
    </row>
    <row r="7" spans="2:6" x14ac:dyDescent="0.25">
      <c r="B7" s="111" t="s">
        <v>8</v>
      </c>
      <c r="E7" s="259" t="s">
        <v>364</v>
      </c>
      <c r="F7" s="13" t="s">
        <v>365</v>
      </c>
    </row>
    <row r="8" spans="2:6" x14ac:dyDescent="0.25">
      <c r="B8" t="s">
        <v>9</v>
      </c>
      <c r="C8" s="263"/>
      <c r="F8" s="278"/>
    </row>
    <row r="9" spans="2:6" x14ac:dyDescent="0.25">
      <c r="B9" t="s">
        <v>117</v>
      </c>
      <c r="C9" s="264"/>
      <c r="F9" s="278"/>
    </row>
    <row r="10" spans="2:6" x14ac:dyDescent="0.25">
      <c r="B10" t="s">
        <v>321</v>
      </c>
      <c r="C10" s="263"/>
      <c r="F10" s="278"/>
    </row>
    <row r="11" spans="2:6" x14ac:dyDescent="0.25">
      <c r="B11" t="s">
        <v>10</v>
      </c>
      <c r="C11" s="263"/>
      <c r="F11" s="278"/>
    </row>
    <row r="12" spans="2:6" x14ac:dyDescent="0.25">
      <c r="B12" t="s">
        <v>103</v>
      </c>
      <c r="C12" s="263"/>
      <c r="E12" s="274" t="s">
        <v>366</v>
      </c>
      <c r="F12" s="13" t="s">
        <v>408</v>
      </c>
    </row>
    <row r="13" spans="2:6" x14ac:dyDescent="0.25">
      <c r="B13" t="s">
        <v>11</v>
      </c>
      <c r="C13" s="195"/>
      <c r="E13" s="260" t="s">
        <v>367</v>
      </c>
      <c r="F13" s="256" t="s">
        <v>368</v>
      </c>
    </row>
    <row r="14" spans="2:6" x14ac:dyDescent="0.25">
      <c r="B14" t="s">
        <v>12</v>
      </c>
      <c r="C14" s="265"/>
      <c r="E14" s="261" t="s">
        <v>407</v>
      </c>
      <c r="F14" s="262" t="s">
        <v>345</v>
      </c>
    </row>
    <row r="15" spans="2:6" x14ac:dyDescent="0.25">
      <c r="B15" t="s">
        <v>13</v>
      </c>
      <c r="C15" s="265"/>
      <c r="E15" s="261" t="str">
        <f>IF(F15="","OK","POZOR!")</f>
        <v>OK</v>
      </c>
      <c r="F15" s="262" t="str">
        <f>IF(C28&gt;'Zdrojová data'!I5,"Překročen max. počet svodičů","")</f>
        <v/>
      </c>
    </row>
    <row r="16" spans="2:6" x14ac:dyDescent="0.25">
      <c r="B16" t="s">
        <v>410</v>
      </c>
      <c r="C16" s="263"/>
      <c r="E16" s="261" t="str">
        <f t="shared" ref="E16:E19" ca="1" si="0">IF(F16="","OK","POZOR!")</f>
        <v>OK</v>
      </c>
      <c r="F16" s="262" t="str">
        <f ca="1">IF(C27&gt;MAX(INDIRECT("'Zdrojová data'!H59:H"&amp;(ROW('Zdrojová data'!H58)+MATCH('Zdrojová data'!E4,'Zdrojová data'!E59:E75,0)))),"Překročen max. počet odpojovačů","")</f>
        <v/>
      </c>
    </row>
    <row r="17" spans="2:7" x14ac:dyDescent="0.25">
      <c r="B17" t="s">
        <v>329</v>
      </c>
      <c r="C17" s="263"/>
      <c r="E17" s="261" t="str">
        <f t="shared" si="0"/>
        <v>OK</v>
      </c>
      <c r="F17" s="262" t="str">
        <f>IF(C29&gt;'Zdrojová data'!I5,"Překročen max. počet vstupů","")</f>
        <v/>
      </c>
    </row>
    <row r="18" spans="2:7" x14ac:dyDescent="0.25">
      <c r="E18" s="261" t="str">
        <f t="shared" si="0"/>
        <v>OK</v>
      </c>
      <c r="F18" s="262" t="str">
        <f>IF(C28&gt;C29,"Počet svodičů nesmí být větší než počet vstupů","")</f>
        <v/>
      </c>
      <c r="G18" s="207"/>
    </row>
    <row r="19" spans="2:7" x14ac:dyDescent="0.25">
      <c r="B19" s="111" t="s">
        <v>155</v>
      </c>
      <c r="E19" s="261" t="str">
        <f t="shared" si="0"/>
        <v>OK</v>
      </c>
      <c r="F19" s="262" t="str">
        <f>'Zdrojová data'!Y15</f>
        <v/>
      </c>
    </row>
    <row r="20" spans="2:7" x14ac:dyDescent="0.25">
      <c r="B20" t="s">
        <v>14</v>
      </c>
      <c r="C20" s="264"/>
      <c r="E20" s="13"/>
      <c r="F20" s="13"/>
    </row>
    <row r="21" spans="2:7" x14ac:dyDescent="0.25">
      <c r="B21" t="s">
        <v>15</v>
      </c>
      <c r="C21" s="264"/>
    </row>
    <row r="22" spans="2:7" x14ac:dyDescent="0.25">
      <c r="B22" t="s">
        <v>35</v>
      </c>
      <c r="C22" s="266"/>
    </row>
    <row r="23" spans="2:7" x14ac:dyDescent="0.25">
      <c r="B23" t="s">
        <v>23</v>
      </c>
      <c r="C23" s="266" t="s">
        <v>311</v>
      </c>
    </row>
    <row r="24" spans="2:7" x14ac:dyDescent="0.25">
      <c r="C24" s="137"/>
      <c r="E24" s="11"/>
    </row>
    <row r="25" spans="2:7" x14ac:dyDescent="0.25">
      <c r="B25" t="s">
        <v>336</v>
      </c>
      <c r="C25" s="266" t="s">
        <v>337</v>
      </c>
      <c r="E25" s="11"/>
    </row>
    <row r="26" spans="2:7" x14ac:dyDescent="0.25">
      <c r="B26" t="s">
        <v>265</v>
      </c>
      <c r="C26" s="266" t="s">
        <v>271</v>
      </c>
      <c r="E26" s="11"/>
    </row>
    <row r="27" spans="2:7" x14ac:dyDescent="0.25">
      <c r="B27" t="s">
        <v>351</v>
      </c>
      <c r="C27" s="263">
        <v>1</v>
      </c>
      <c r="E27" s="11"/>
    </row>
    <row r="28" spans="2:7" x14ac:dyDescent="0.25">
      <c r="B28" t="s">
        <v>344</v>
      </c>
      <c r="C28" s="267">
        <v>1</v>
      </c>
      <c r="E28" s="11"/>
    </row>
    <row r="29" spans="2:7" x14ac:dyDescent="0.25">
      <c r="B29" t="s">
        <v>348</v>
      </c>
      <c r="C29" s="267">
        <v>1</v>
      </c>
      <c r="E29" s="11"/>
    </row>
    <row r="30" spans="2:7" x14ac:dyDescent="0.25">
      <c r="B30" t="s">
        <v>2</v>
      </c>
      <c r="C30" s="263" t="s">
        <v>325</v>
      </c>
      <c r="E30" s="11"/>
    </row>
    <row r="31" spans="2:7" x14ac:dyDescent="0.25">
      <c r="E31" s="11"/>
    </row>
    <row r="32" spans="2:7" x14ac:dyDescent="0.25">
      <c r="B32" s="277" t="s">
        <v>71</v>
      </c>
      <c r="C32" s="277"/>
      <c r="E32" s="11"/>
    </row>
    <row r="33" spans="2:5" x14ac:dyDescent="0.25">
      <c r="B33" s="276"/>
      <c r="C33" s="276"/>
      <c r="E33" s="11"/>
    </row>
    <row r="34" spans="2:5" x14ac:dyDescent="0.25">
      <c r="B34" s="276"/>
      <c r="C34" s="276"/>
      <c r="E34" s="11"/>
    </row>
    <row r="35" spans="2:5" x14ac:dyDescent="0.25">
      <c r="E35" s="11"/>
    </row>
    <row r="36" spans="2:5" x14ac:dyDescent="0.25">
      <c r="B36" s="111" t="s">
        <v>326</v>
      </c>
      <c r="C36" s="263"/>
      <c r="E36" s="11"/>
    </row>
    <row r="37" spans="2:5" x14ac:dyDescent="0.25">
      <c r="E37" s="11"/>
    </row>
    <row r="38" spans="2:5" x14ac:dyDescent="0.25">
      <c r="E38" s="11"/>
    </row>
    <row r="39" spans="2:5" x14ac:dyDescent="0.25">
      <c r="E39" s="11"/>
    </row>
    <row r="40" spans="2:5" x14ac:dyDescent="0.25">
      <c r="E40" s="11"/>
    </row>
  </sheetData>
  <sheetProtection algorithmName="SHA-512" hashValue="oqIHqYgFbRfiClzsnCXYqfR26cWadHA0b/kgkHvxTymnxKnmEFeWrvL0SuinmfHG8Z5lA8lkQeZBCrsAxeW3/g==" saltValue="F6UnmvT4+bIK3O6zyHlX2Q==" spinCount="100000" sheet="1" scenarios="1"/>
  <mergeCells count="4">
    <mergeCell ref="B5:C5"/>
    <mergeCell ref="B33:C34"/>
    <mergeCell ref="B32:C32"/>
    <mergeCell ref="F8:F11"/>
  </mergeCells>
  <pageMargins left="0.7" right="0.7" top="0.78740157499999996" bottom="0.78740157499999996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200-000000000000}">
          <x14:formula1>
            <xm:f>'Zdrojová data'!$D$4:$D$17</xm:f>
          </x14:formula1>
          <xm:sqref>B5:C5</xm:sqref>
        </x14:dataValidation>
        <x14:dataValidation type="list" allowBlank="1" showInputMessage="1" xr:uid="{29C48566-30F9-4339-8A76-768E0AC5438A}">
          <x14:formula1>
            <xm:f>'Zdrojová data'!$X$3:$X$5</xm:f>
          </x14:formula1>
          <xm:sqref>C26</xm:sqref>
        </x14:dataValidation>
        <x14:dataValidation type="list" allowBlank="1" showInputMessage="1" showErrorMessage="1" xr:uid="{5FBC620D-ECA8-4CAC-8AE0-1E1A0442E30D}">
          <x14:formula1>
            <xm:f>'Zdrojová data'!$X$8:$X$13</xm:f>
          </x14:formula1>
          <xm:sqref>C25</xm:sqref>
        </x14:dataValidation>
        <x14:dataValidation type="list" allowBlank="1" showInputMessage="1" showErrorMessage="1" xr:uid="{3A9DB2ED-371F-43ED-9393-21272D3BDFAC}">
          <x14:formula1>
            <xm:f>'Zdrojová data'!$B$74:$B$75</xm:f>
          </x14:formula1>
          <xm:sqref>C23</xm:sqref>
        </x14:dataValidation>
        <x14:dataValidation type="list" allowBlank="1" showInputMessage="1" showErrorMessage="1" xr:uid="{95619DBE-5137-44B0-9855-4F75BA949C47}">
          <x14:formula1>
            <xm:f>'Zdrojová data'!$B$78:$B$80</xm:f>
          </x14:formula1>
          <xm:sqref>C30</xm:sqref>
        </x14:dataValidation>
        <x14:dataValidation type="list" errorStyle="warning" allowBlank="1" showErrorMessage="1" errorTitle="Pozor" error="Počet svodičů nesmí být vyšší než počet stringů!" xr:uid="{92DDFE58-A75E-4D4D-AAB1-BDF96E578E9F}">
          <x14:formula1>
            <xm:f>INDIRECT("'Zdrojová data'!G41:G"&amp;(ROW('Zdrojová data'!G40)+MATCH('Zdrojová data'!E5,'Zdrojová data'!E41:E57,0)))</xm:f>
          </x14:formula1>
          <xm:sqref>C28</xm:sqref>
        </x14:dataValidation>
        <x14:dataValidation type="list" allowBlank="1" showInputMessage="1" showErrorMessage="1" xr:uid="{A5C6079F-B29B-456C-BDE8-BD8FB779FF35}">
          <x14:formula1>
            <xm:f>INDIRECT("'Zdrojová data'!H59:H"&amp;(ROW('Zdrojová data'!H58)+MATCH('Zdrojová data'!E5,'Zdrojová data'!E59:E75,0)))</xm:f>
          </x14:formula1>
          <xm:sqref>C27</xm:sqref>
        </x14:dataValidation>
        <x14:dataValidation type="list" errorStyle="warning" allowBlank="1" showErrorMessage="1" errorTitle="Pozor" error="Počet svodičů nesmí být vyšší než počet stringů!" xr:uid="{6AA2EA6E-0A4C-449D-BCCA-2F2B68D299C0}">
          <x14:formula1>
            <xm:f>INDIRECT("'Zdrojová data'!H59:H"&amp;(ROW('Zdrojová data'!H58)+MATCH('Zdrojová data'!E5,'Zdrojová data'!E59:E75,0)))</xm:f>
          </x14:formula1>
          <xm:sqref>C29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ist1">
    <tabColor theme="3"/>
    <pageSetUpPr fitToPage="1"/>
  </sheetPr>
  <dimension ref="B1:N70"/>
  <sheetViews>
    <sheetView showGridLines="0" showZeros="0" view="pageBreakPreview" zoomScaleNormal="100" zoomScaleSheetLayoutView="100" workbookViewId="0">
      <selection activeCell="B3" sqref="B3:R3"/>
    </sheetView>
  </sheetViews>
  <sheetFormatPr defaultColWidth="8.85546875" defaultRowHeight="15" x14ac:dyDescent="0.25"/>
  <cols>
    <col min="1" max="1" width="3.7109375" customWidth="1"/>
    <col min="2" max="2" width="13.5703125" customWidth="1"/>
    <col min="3" max="3" width="4.28515625" customWidth="1"/>
    <col min="4" max="4" width="41.140625" customWidth="1"/>
    <col min="5" max="5" width="17.7109375" customWidth="1"/>
    <col min="6" max="6" width="13.7109375" customWidth="1"/>
    <col min="7" max="7" width="11.5703125" customWidth="1"/>
    <col min="8" max="8" width="14" customWidth="1"/>
    <col min="9" max="9" width="14.7109375" customWidth="1"/>
    <col min="10" max="10" width="9.85546875" customWidth="1"/>
    <col min="12" max="12" width="6" customWidth="1"/>
    <col min="13" max="13" width="22.42578125" customWidth="1"/>
  </cols>
  <sheetData>
    <row r="1" spans="2:10" ht="15" customHeight="1" x14ac:dyDescent="0.25">
      <c r="B1" s="78" t="s">
        <v>110</v>
      </c>
      <c r="C1" s="78"/>
    </row>
    <row r="2" spans="2:10" ht="31.15" customHeight="1" x14ac:dyDescent="0.55000000000000004">
      <c r="D2" s="300"/>
      <c r="E2" s="300"/>
      <c r="F2" s="300"/>
      <c r="G2" s="300"/>
      <c r="H2" s="300"/>
      <c r="I2" s="300"/>
      <c r="J2" s="99" t="s">
        <v>411</v>
      </c>
    </row>
    <row r="3" spans="2:10" ht="31.15" customHeight="1" x14ac:dyDescent="0.55000000000000004">
      <c r="B3" s="300" t="s">
        <v>152</v>
      </c>
      <c r="C3" s="300"/>
      <c r="D3" s="300"/>
      <c r="E3" s="300"/>
      <c r="F3" s="300"/>
      <c r="G3" s="300"/>
      <c r="H3" s="300"/>
      <c r="I3" s="300"/>
      <c r="J3" s="300"/>
    </row>
    <row r="4" spans="2:10" ht="18" customHeight="1" x14ac:dyDescent="0.55000000000000004">
      <c r="D4" s="141"/>
      <c r="E4" s="141"/>
      <c r="F4" s="141"/>
      <c r="G4" s="141"/>
      <c r="H4" s="141"/>
      <c r="I4" s="141"/>
      <c r="J4" s="99"/>
    </row>
    <row r="5" spans="2:10" ht="12" customHeight="1" x14ac:dyDescent="0.25"/>
    <row r="6" spans="2:10" ht="18.75" x14ac:dyDescent="0.3">
      <c r="C6" s="24"/>
      <c r="D6" s="43" t="s">
        <v>273</v>
      </c>
      <c r="E6" s="43"/>
      <c r="F6" s="43"/>
      <c r="G6" s="43" t="s">
        <v>7</v>
      </c>
      <c r="H6" s="112">
        <f>Zadání!C22</f>
        <v>0</v>
      </c>
      <c r="J6" s="57"/>
    </row>
    <row r="7" spans="2:10" ht="18.75" x14ac:dyDescent="0.3">
      <c r="C7" s="24"/>
      <c r="D7" s="43" t="s">
        <v>187</v>
      </c>
      <c r="E7" s="43"/>
      <c r="F7" s="43"/>
      <c r="G7" s="43"/>
      <c r="H7" s="43"/>
      <c r="I7" s="43"/>
      <c r="J7" s="57"/>
    </row>
    <row r="8" spans="2:10" ht="10.15" customHeight="1" x14ac:dyDescent="0.3">
      <c r="C8" s="24"/>
      <c r="D8" s="43"/>
      <c r="E8" s="43"/>
      <c r="F8" s="43"/>
      <c r="G8" s="43"/>
      <c r="H8" s="43"/>
      <c r="I8" s="43"/>
      <c r="J8" s="57"/>
    </row>
    <row r="9" spans="2:10" s="54" customFormat="1" ht="15" customHeight="1" x14ac:dyDescent="0.3">
      <c r="C9" s="24"/>
      <c r="D9" s="90" t="s">
        <v>5</v>
      </c>
      <c r="E9" s="319" t="str">
        <f>'Zdrojová data'!S16</f>
        <v>F-05-1-1A8-16/1000-1/3/12-S</v>
      </c>
      <c r="F9" s="320"/>
      <c r="G9" s="320"/>
      <c r="H9" s="321"/>
      <c r="I9" s="43"/>
      <c r="J9" s="43"/>
    </row>
    <row r="10" spans="2:10" s="54" customFormat="1" ht="15" customHeight="1" x14ac:dyDescent="0.3">
      <c r="C10" s="24"/>
      <c r="D10" s="90"/>
      <c r="E10" s="90"/>
      <c r="F10" s="171"/>
      <c r="G10" s="171"/>
      <c r="H10" s="171"/>
      <c r="I10" s="43"/>
      <c r="J10" s="43"/>
    </row>
    <row r="11" spans="2:10" s="54" customFormat="1" ht="18.75" x14ac:dyDescent="0.3">
      <c r="C11" s="24"/>
      <c r="D11" s="115" t="s">
        <v>8</v>
      </c>
      <c r="E11" s="115"/>
      <c r="F11" s="79"/>
      <c r="G11" s="79"/>
      <c r="H11" s="79"/>
      <c r="I11" s="43"/>
      <c r="J11" s="43"/>
    </row>
    <row r="12" spans="2:10" s="54" customFormat="1" ht="16.899999999999999" customHeight="1" x14ac:dyDescent="0.3">
      <c r="C12" s="24"/>
      <c r="D12" s="373" t="s">
        <v>9</v>
      </c>
      <c r="E12" s="374"/>
      <c r="F12" s="293">
        <f>Zadání!C8</f>
        <v>0</v>
      </c>
      <c r="G12" s="294"/>
      <c r="H12" s="295"/>
      <c r="I12" s="43"/>
      <c r="J12" s="43"/>
    </row>
    <row r="13" spans="2:10" s="54" customFormat="1" ht="16.899999999999999" customHeight="1" x14ac:dyDescent="0.3">
      <c r="C13" s="24"/>
      <c r="D13" s="296" t="s">
        <v>117</v>
      </c>
      <c r="E13" s="297"/>
      <c r="F13" s="357">
        <f>Zadání!C9</f>
        <v>0</v>
      </c>
      <c r="G13" s="358"/>
      <c r="H13" s="359"/>
      <c r="I13" s="43"/>
      <c r="J13" s="43"/>
    </row>
    <row r="14" spans="2:10" s="54" customFormat="1" ht="16.899999999999999" customHeight="1" x14ac:dyDescent="0.3">
      <c r="C14" s="24"/>
      <c r="D14" s="296" t="s">
        <v>321</v>
      </c>
      <c r="E14" s="297"/>
      <c r="F14" s="360">
        <f>Zadání!C10</f>
        <v>0</v>
      </c>
      <c r="G14" s="361"/>
      <c r="H14" s="362"/>
      <c r="I14" s="43"/>
      <c r="J14" s="43"/>
    </row>
    <row r="15" spans="2:10" s="54" customFormat="1" ht="16.899999999999999" customHeight="1" x14ac:dyDescent="0.3">
      <c r="C15" s="24"/>
      <c r="D15" s="296" t="s">
        <v>10</v>
      </c>
      <c r="E15" s="297"/>
      <c r="F15" s="360">
        <f>Zadání!C11</f>
        <v>0</v>
      </c>
      <c r="G15" s="361"/>
      <c r="H15" s="362"/>
      <c r="I15" s="43"/>
      <c r="J15" s="43"/>
    </row>
    <row r="16" spans="2:10" s="54" customFormat="1" ht="16.899999999999999" customHeight="1" x14ac:dyDescent="0.3">
      <c r="C16" s="24"/>
      <c r="D16" s="296" t="s">
        <v>103</v>
      </c>
      <c r="E16" s="297"/>
      <c r="F16" s="360">
        <f>Zadání!C12</f>
        <v>0</v>
      </c>
      <c r="G16" s="361"/>
      <c r="H16" s="362"/>
      <c r="I16" s="43"/>
      <c r="J16" s="43"/>
    </row>
    <row r="17" spans="3:10" s="54" customFormat="1" ht="16.899999999999999" customHeight="1" x14ac:dyDescent="0.3">
      <c r="C17" s="24"/>
      <c r="D17" s="296" t="s">
        <v>11</v>
      </c>
      <c r="E17" s="297"/>
      <c r="F17" s="363">
        <f>Zadání!C13</f>
        <v>0</v>
      </c>
      <c r="G17" s="364"/>
      <c r="H17" s="365"/>
      <c r="I17" s="43"/>
      <c r="J17" s="43"/>
    </row>
    <row r="18" spans="3:10" s="54" customFormat="1" ht="16.899999999999999" customHeight="1" x14ac:dyDescent="0.3">
      <c r="C18" s="24"/>
      <c r="D18" s="296" t="s">
        <v>12</v>
      </c>
      <c r="E18" s="297"/>
      <c r="F18" s="366">
        <f>Zadání!C14</f>
        <v>0</v>
      </c>
      <c r="G18" s="367"/>
      <c r="H18" s="368"/>
      <c r="I18" s="43"/>
      <c r="J18" s="43"/>
    </row>
    <row r="19" spans="3:10" s="54" customFormat="1" ht="16.899999999999999" customHeight="1" x14ac:dyDescent="0.3">
      <c r="C19" s="24"/>
      <c r="D19" s="298" t="s">
        <v>13</v>
      </c>
      <c r="E19" s="299"/>
      <c r="F19" s="301">
        <f>Zadání!C15</f>
        <v>0</v>
      </c>
      <c r="G19" s="302"/>
      <c r="H19" s="303"/>
      <c r="I19" s="43"/>
      <c r="J19" s="43"/>
    </row>
    <row r="20" spans="3:10" s="54" customFormat="1" ht="10.15" customHeight="1" x14ac:dyDescent="0.3">
      <c r="C20" s="24"/>
      <c r="D20" s="114"/>
      <c r="E20" s="114"/>
      <c r="F20" s="113"/>
      <c r="G20" s="114"/>
      <c r="H20" s="114"/>
      <c r="I20" s="43"/>
      <c r="J20" s="43"/>
    </row>
    <row r="21" spans="3:10" s="54" customFormat="1" ht="16.899999999999999" customHeight="1" x14ac:dyDescent="0.3">
      <c r="C21" s="24"/>
      <c r="D21" s="311" t="s">
        <v>14</v>
      </c>
      <c r="E21" s="312"/>
      <c r="F21" s="293">
        <f>Zadání!C20</f>
        <v>0</v>
      </c>
      <c r="G21" s="294"/>
      <c r="H21" s="295"/>
      <c r="I21" s="43"/>
      <c r="J21" s="43"/>
    </row>
    <row r="22" spans="3:10" s="54" customFormat="1" ht="16.899999999999999" customHeight="1" x14ac:dyDescent="0.3">
      <c r="C22" s="24"/>
      <c r="D22" s="315" t="s">
        <v>15</v>
      </c>
      <c r="E22" s="316"/>
      <c r="F22" s="306">
        <f>Zadání!C21</f>
        <v>0</v>
      </c>
      <c r="G22" s="307"/>
      <c r="H22" s="308"/>
      <c r="I22" s="43"/>
      <c r="J22" s="43"/>
    </row>
    <row r="23" spans="3:10" s="54" customFormat="1" ht="16.899999999999999" customHeight="1" x14ac:dyDescent="0.3">
      <c r="C23" s="24"/>
      <c r="D23" s="315" t="s">
        <v>104</v>
      </c>
      <c r="E23" s="316"/>
      <c r="F23" s="369" t="str">
        <f>'Zdrojová data'!S15</f>
        <v>BK050</v>
      </c>
      <c r="G23" s="370"/>
      <c r="H23" s="371"/>
      <c r="I23" s="43"/>
      <c r="J23" s="43"/>
    </row>
    <row r="24" spans="3:10" s="54" customFormat="1" ht="16.899999999999999" customHeight="1" x14ac:dyDescent="0.3">
      <c r="C24" s="24"/>
      <c r="D24" s="317" t="s">
        <v>35</v>
      </c>
      <c r="E24" s="318"/>
      <c r="F24" s="372">
        <f>Zadání!C22</f>
        <v>0</v>
      </c>
      <c r="G24" s="361"/>
      <c r="H24" s="362"/>
      <c r="I24" s="91"/>
      <c r="J24" s="43"/>
    </row>
    <row r="25" spans="3:10" s="54" customFormat="1" ht="10.15" customHeight="1" x14ac:dyDescent="0.3">
      <c r="C25" s="24"/>
      <c r="D25" s="114"/>
      <c r="E25" s="114"/>
      <c r="F25" s="116"/>
      <c r="G25" s="114"/>
      <c r="H25" s="114"/>
      <c r="I25" s="43"/>
      <c r="J25" s="43"/>
    </row>
    <row r="26" spans="3:10" s="54" customFormat="1" ht="16.899999999999999" customHeight="1" x14ac:dyDescent="0.3">
      <c r="C26" s="24"/>
      <c r="D26" s="313" t="s">
        <v>302</v>
      </c>
      <c r="E26" s="314"/>
      <c r="F26" s="184">
        <f>'Zdrojová data'!K4</f>
        <v>1000</v>
      </c>
      <c r="G26" s="355" t="s">
        <v>168</v>
      </c>
      <c r="H26" s="356"/>
      <c r="I26" s="185"/>
      <c r="J26" s="43"/>
    </row>
    <row r="27" spans="3:10" s="54" customFormat="1" ht="16.899999999999999" customHeight="1" x14ac:dyDescent="0.3">
      <c r="C27" s="24"/>
      <c r="D27" s="290" t="s">
        <v>303</v>
      </c>
      <c r="E27" s="291"/>
      <c r="F27" s="186">
        <f>'Zdrojová data'!K4</f>
        <v>1000</v>
      </c>
      <c r="G27" s="304" t="s">
        <v>16</v>
      </c>
      <c r="H27" s="305"/>
      <c r="I27" s="185"/>
      <c r="J27" s="43"/>
    </row>
    <row r="28" spans="3:10" s="54" customFormat="1" ht="16.899999999999999" customHeight="1" x14ac:dyDescent="0.3">
      <c r="C28" s="24"/>
      <c r="D28" s="290" t="s">
        <v>304</v>
      </c>
      <c r="E28" s="291"/>
      <c r="F28" s="187">
        <f>F26</f>
        <v>1000</v>
      </c>
      <c r="G28" s="304" t="s">
        <v>16</v>
      </c>
      <c r="H28" s="305"/>
      <c r="I28" s="185"/>
      <c r="J28" s="43"/>
    </row>
    <row r="29" spans="3:10" s="54" customFormat="1" ht="16.899999999999999" customHeight="1" x14ac:dyDescent="0.3">
      <c r="C29" s="24"/>
      <c r="D29" s="290" t="s">
        <v>305</v>
      </c>
      <c r="E29" s="291"/>
      <c r="F29" s="188">
        <v>6</v>
      </c>
      <c r="G29" s="304" t="s">
        <v>17</v>
      </c>
      <c r="H29" s="305"/>
      <c r="I29" s="185"/>
      <c r="J29" s="43"/>
    </row>
    <row r="30" spans="3:10" s="54" customFormat="1" ht="16.899999999999999" customHeight="1" x14ac:dyDescent="0.3">
      <c r="C30" s="24"/>
      <c r="D30" s="290" t="s">
        <v>306</v>
      </c>
      <c r="E30" s="291"/>
      <c r="F30" s="189" t="str">
        <f>'Zdrojová data'!M4&amp;" x "&amp;'Zdrojová data'!L4</f>
        <v>1 x 16</v>
      </c>
      <c r="G30" s="309" t="s">
        <v>4</v>
      </c>
      <c r="H30" s="310"/>
      <c r="I30" s="185"/>
      <c r="J30" s="43"/>
    </row>
    <row r="31" spans="3:10" s="54" customFormat="1" ht="16.899999999999999" customHeight="1" x14ac:dyDescent="0.3">
      <c r="C31" s="24"/>
      <c r="D31" s="290" t="s">
        <v>307</v>
      </c>
      <c r="E31" s="291"/>
      <c r="F31" s="186">
        <f>ROUND((('Zdrojová data'!M4*'Zdrojová data'!L4)*0.8),0)</f>
        <v>13</v>
      </c>
      <c r="G31" s="283" t="s">
        <v>4</v>
      </c>
      <c r="H31" s="284"/>
      <c r="I31" s="185"/>
      <c r="J31" s="43"/>
    </row>
    <row r="32" spans="3:10" s="54" customFormat="1" ht="16.899999999999999" customHeight="1" x14ac:dyDescent="0.3">
      <c r="C32" s="24"/>
      <c r="D32" s="290" t="s">
        <v>308</v>
      </c>
      <c r="E32" s="291"/>
      <c r="F32" s="186" t="s">
        <v>301</v>
      </c>
      <c r="G32" s="283" t="s">
        <v>18</v>
      </c>
      <c r="H32" s="284"/>
      <c r="I32" s="185"/>
      <c r="J32" s="43"/>
    </row>
    <row r="33" spans="3:10" s="54" customFormat="1" ht="16.899999999999999" customHeight="1" x14ac:dyDescent="0.3">
      <c r="C33" s="24"/>
      <c r="D33" s="290" t="s">
        <v>309</v>
      </c>
      <c r="E33" s="291"/>
      <c r="F33" s="186" t="s">
        <v>301</v>
      </c>
      <c r="G33" s="283" t="s">
        <v>18</v>
      </c>
      <c r="H33" s="284"/>
      <c r="I33" s="185"/>
      <c r="J33" s="43"/>
    </row>
    <row r="34" spans="3:10" s="54" customFormat="1" ht="16.899999999999999" customHeight="1" x14ac:dyDescent="0.3">
      <c r="C34" s="24"/>
      <c r="D34" s="290" t="s">
        <v>313</v>
      </c>
      <c r="E34" s="291"/>
      <c r="F34" s="191">
        <f>'Zdrojová data'!S7</f>
        <v>0.8</v>
      </c>
      <c r="G34" s="283"/>
      <c r="H34" s="284"/>
      <c r="I34" s="190"/>
      <c r="J34" s="43"/>
    </row>
    <row r="35" spans="3:10" s="54" customFormat="1" ht="16.899999999999999" customHeight="1" x14ac:dyDescent="0.3">
      <c r="C35" s="24"/>
      <c r="D35" s="286" t="s">
        <v>19</v>
      </c>
      <c r="E35" s="287"/>
      <c r="F35" s="192" t="s">
        <v>310</v>
      </c>
      <c r="G35" s="193"/>
      <c r="H35" s="194"/>
      <c r="I35" s="185"/>
      <c r="J35" s="43"/>
    </row>
    <row r="36" spans="3:10" s="54" customFormat="1" ht="10.15" customHeight="1" x14ac:dyDescent="0.3">
      <c r="C36" s="24"/>
      <c r="D36" s="92"/>
      <c r="E36" s="92"/>
      <c r="F36" s="43"/>
      <c r="G36" s="43"/>
      <c r="H36" s="43"/>
      <c r="I36" s="43"/>
      <c r="J36" s="43"/>
    </row>
    <row r="37" spans="3:10" s="54" customFormat="1" ht="16.899999999999999" customHeight="1" x14ac:dyDescent="0.3">
      <c r="C37" s="24"/>
      <c r="D37" s="93" t="s">
        <v>20</v>
      </c>
      <c r="E37" s="93"/>
      <c r="F37" s="94"/>
      <c r="G37" s="94"/>
      <c r="H37" s="94"/>
      <c r="I37" s="43"/>
      <c r="J37" s="43"/>
    </row>
    <row r="38" spans="3:10" s="54" customFormat="1" ht="16.899999999999999" customHeight="1" x14ac:dyDescent="0.3">
      <c r="C38" s="24"/>
      <c r="D38" s="279" t="s">
        <v>3</v>
      </c>
      <c r="E38" s="280"/>
      <c r="F38" s="197" t="s">
        <v>30</v>
      </c>
      <c r="G38" s="120"/>
      <c r="H38" s="117"/>
      <c r="I38" s="43"/>
      <c r="J38" s="43"/>
    </row>
    <row r="39" spans="3:10" s="54" customFormat="1" ht="16.899999999999999" customHeight="1" x14ac:dyDescent="0.3">
      <c r="C39" s="24"/>
      <c r="D39" s="281" t="s">
        <v>21</v>
      </c>
      <c r="E39" s="282"/>
      <c r="F39" s="198" t="str">
        <f>'Zdrojová data'!S5</f>
        <v>65/20</v>
      </c>
      <c r="G39" s="121"/>
      <c r="H39" s="122"/>
      <c r="I39" s="43" t="s">
        <v>59</v>
      </c>
      <c r="J39" s="43"/>
    </row>
    <row r="40" spans="3:10" s="54" customFormat="1" ht="16.899999999999999" customHeight="1" x14ac:dyDescent="0.3">
      <c r="C40" s="24"/>
      <c r="D40" s="285" t="s">
        <v>148</v>
      </c>
      <c r="E40" s="282"/>
      <c r="F40" s="197" t="str">
        <f>'Zdrojová data'!S6</f>
        <v>IK 08</v>
      </c>
      <c r="G40" s="121"/>
      <c r="H40" s="122"/>
      <c r="I40" s="43" t="s">
        <v>58</v>
      </c>
      <c r="J40" s="43"/>
    </row>
    <row r="41" spans="3:10" s="54" customFormat="1" ht="16.899999999999999" customHeight="1" x14ac:dyDescent="0.3">
      <c r="C41" s="24"/>
      <c r="D41" s="281" t="s">
        <v>22</v>
      </c>
      <c r="E41" s="282"/>
      <c r="F41" s="197" t="s">
        <v>60</v>
      </c>
      <c r="G41" s="121"/>
      <c r="H41" s="122"/>
      <c r="I41" s="43"/>
      <c r="J41" s="43"/>
    </row>
    <row r="42" spans="3:10" s="54" customFormat="1" ht="16.899999999999999" customHeight="1" x14ac:dyDescent="0.3">
      <c r="C42" s="24"/>
      <c r="D42" s="281" t="s">
        <v>23</v>
      </c>
      <c r="E42" s="282"/>
      <c r="F42" s="197" t="str">
        <f>Zadání!C23</f>
        <v xml:space="preserve">Vnitřní </v>
      </c>
      <c r="G42" s="121"/>
      <c r="H42" s="122"/>
      <c r="I42" s="43"/>
      <c r="J42" s="43"/>
    </row>
    <row r="43" spans="3:10" s="54" customFormat="1" ht="16.899999999999999" customHeight="1" x14ac:dyDescent="0.3">
      <c r="C43" s="24"/>
      <c r="D43" s="281" t="s">
        <v>24</v>
      </c>
      <c r="E43" s="282"/>
      <c r="F43" s="197" t="s">
        <v>6</v>
      </c>
      <c r="G43" s="121"/>
      <c r="H43" s="122"/>
      <c r="I43" s="43"/>
      <c r="J43" s="43"/>
    </row>
    <row r="44" spans="3:10" s="54" customFormat="1" ht="16.899999999999999" customHeight="1" x14ac:dyDescent="0.3">
      <c r="C44" s="24"/>
      <c r="D44" s="281" t="s">
        <v>25</v>
      </c>
      <c r="E44" s="282"/>
      <c r="F44" s="197" t="s">
        <v>312</v>
      </c>
      <c r="G44" s="121"/>
      <c r="H44" s="122"/>
      <c r="I44" s="43"/>
      <c r="J44" s="43"/>
    </row>
    <row r="45" spans="3:10" s="54" customFormat="1" ht="16.899999999999999" customHeight="1" x14ac:dyDescent="0.3">
      <c r="C45" s="24"/>
      <c r="D45" s="281" t="s">
        <v>26</v>
      </c>
      <c r="E45" s="282"/>
      <c r="F45" s="197" t="s">
        <v>61</v>
      </c>
      <c r="G45" s="121"/>
      <c r="H45" s="122"/>
      <c r="I45" s="43"/>
      <c r="J45" s="43"/>
    </row>
    <row r="46" spans="3:10" s="54" customFormat="1" ht="16.899999999999999" customHeight="1" x14ac:dyDescent="0.3">
      <c r="C46" s="24"/>
      <c r="D46" s="281" t="s">
        <v>266</v>
      </c>
      <c r="E46" s="282"/>
      <c r="F46" s="197" t="s">
        <v>268</v>
      </c>
      <c r="G46" s="121"/>
      <c r="H46" s="122"/>
      <c r="I46" s="43"/>
      <c r="J46" s="43"/>
    </row>
    <row r="47" spans="3:10" s="54" customFormat="1" ht="16.899999999999999" customHeight="1" x14ac:dyDescent="0.3">
      <c r="C47" s="24"/>
      <c r="D47" s="281" t="s">
        <v>267</v>
      </c>
      <c r="E47" s="282"/>
      <c r="F47" s="197" t="s">
        <v>269</v>
      </c>
      <c r="G47" s="121"/>
      <c r="H47" s="122"/>
      <c r="I47" s="43"/>
      <c r="J47" s="43"/>
    </row>
    <row r="48" spans="3:10" s="54" customFormat="1" ht="16.899999999999999" customHeight="1" x14ac:dyDescent="0.3">
      <c r="C48" s="24"/>
      <c r="D48" s="292" t="str">
        <f ca="1">IF(LEN(_xlfn.CONCAT(Zadání!F15:F19))&gt;0,"Pozor! Tato konfigurace nelze použít, prosím upravte zadání.","")</f>
        <v/>
      </c>
      <c r="E48" s="292"/>
      <c r="F48" s="292"/>
      <c r="G48" s="292"/>
      <c r="H48" s="292"/>
      <c r="I48" s="43"/>
      <c r="J48" s="43"/>
    </row>
    <row r="49" spans="3:14" s="54" customFormat="1" ht="18.75" x14ac:dyDescent="0.3">
      <c r="C49" s="24"/>
      <c r="D49" s="292"/>
      <c r="E49" s="292"/>
      <c r="F49" s="292"/>
      <c r="G49" s="292"/>
      <c r="H49" s="292"/>
      <c r="I49" s="43"/>
      <c r="J49" s="43"/>
    </row>
    <row r="50" spans="3:14" s="54" customFormat="1" ht="16.899999999999999" customHeight="1" x14ac:dyDescent="0.3">
      <c r="C50" s="24"/>
      <c r="D50" s="123" t="s">
        <v>27</v>
      </c>
      <c r="E50" s="123"/>
      <c r="F50" s="124"/>
      <c r="G50" s="124"/>
      <c r="H50" s="124"/>
      <c r="I50" s="43"/>
      <c r="J50" s="43"/>
    </row>
    <row r="51" spans="3:14" s="54" customFormat="1" ht="16.899999999999999" customHeight="1" x14ac:dyDescent="0.3">
      <c r="C51" s="24"/>
      <c r="D51" s="279" t="s">
        <v>63</v>
      </c>
      <c r="E51" s="280"/>
      <c r="F51" s="125">
        <f>IF('5. Oteplení rozváděče'!$C$18="","",VLOOKUP(CONCATENATE('5. Oteplení rozváděče'!C18,"*"),Databaze!$1:$1048576,5,0))</f>
        <v>238</v>
      </c>
      <c r="G51" s="288" t="s">
        <v>1</v>
      </c>
      <c r="H51" s="289"/>
      <c r="I51" s="43"/>
      <c r="J51" s="43"/>
    </row>
    <row r="52" spans="3:14" s="54" customFormat="1" ht="16.899999999999999" customHeight="1" x14ac:dyDescent="0.3">
      <c r="C52" s="24"/>
      <c r="D52" s="281" t="s">
        <v>64</v>
      </c>
      <c r="E52" s="282"/>
      <c r="F52" s="118">
        <f>IF('5. Oteplení rozváděče'!$C$18="","",VLOOKUP(CONCATENATE('5. Oteplení rozváděče'!C18,"*"),Databaze!$1:$1048576,4,0))</f>
        <v>118</v>
      </c>
      <c r="G52" s="353" t="s">
        <v>1</v>
      </c>
      <c r="H52" s="354"/>
      <c r="I52" s="43"/>
      <c r="J52" s="43"/>
    </row>
    <row r="53" spans="3:14" s="54" customFormat="1" ht="16.899999999999999" customHeight="1" x14ac:dyDescent="0.3">
      <c r="C53" s="24"/>
      <c r="D53" s="332" t="s">
        <v>65</v>
      </c>
      <c r="E53" s="333"/>
      <c r="F53" s="119">
        <f>IF('5. Oteplení rozváděče'!$C$18="","",VLOOKUP(CONCATENATE('5. Oteplení rozváděče'!C18,"*"),Databaze!$1:$1048576,6,0))</f>
        <v>231</v>
      </c>
      <c r="G53" s="330" t="s">
        <v>1</v>
      </c>
      <c r="H53" s="331"/>
      <c r="I53" s="43"/>
      <c r="J53" s="43"/>
    </row>
    <row r="54" spans="3:14" s="54" customFormat="1" ht="10.15" customHeight="1" x14ac:dyDescent="0.3">
      <c r="C54" s="24"/>
      <c r="D54" s="199"/>
      <c r="E54" s="199"/>
      <c r="F54" s="200"/>
      <c r="G54" s="201"/>
      <c r="H54" s="199"/>
      <c r="I54" s="43"/>
      <c r="J54" s="43"/>
    </row>
    <row r="55" spans="3:14" s="54" customFormat="1" ht="16.899999999999999" customHeight="1" x14ac:dyDescent="0.3">
      <c r="C55" s="24"/>
      <c r="D55" s="334" t="s">
        <v>28</v>
      </c>
      <c r="E55" s="335"/>
      <c r="F55" s="202">
        <f>'Zdrojová data'!S14</f>
        <v>2.1</v>
      </c>
      <c r="G55" s="342" t="s">
        <v>29</v>
      </c>
      <c r="H55" s="343"/>
      <c r="I55" s="43"/>
      <c r="J55" s="43"/>
    </row>
    <row r="56" spans="3:14" s="54" customFormat="1" ht="16.899999999999999" customHeight="1" x14ac:dyDescent="0.3">
      <c r="C56" s="24"/>
      <c r="D56" s="340" t="s">
        <v>2</v>
      </c>
      <c r="E56" s="341"/>
      <c r="F56" s="344" t="str">
        <f>Zadání!C30</f>
        <v>4 - venkovní</v>
      </c>
      <c r="G56" s="345"/>
      <c r="H56" s="346"/>
      <c r="I56" s="43"/>
      <c r="J56" s="43"/>
    </row>
    <row r="57" spans="3:14" s="54" customFormat="1" ht="16.899999999999999" customHeight="1" x14ac:dyDescent="0.3">
      <c r="C57" s="24"/>
      <c r="D57" s="338" t="s">
        <v>102</v>
      </c>
      <c r="E57" s="339"/>
      <c r="F57" s="203">
        <f>'Zdrojová data'!S11</f>
        <v>35</v>
      </c>
      <c r="G57" s="336" t="s">
        <v>96</v>
      </c>
      <c r="H57" s="337"/>
      <c r="I57" s="43"/>
      <c r="J57" s="43"/>
    </row>
    <row r="58" spans="3:14" s="54" customFormat="1" ht="16.899999999999999" customHeight="1" x14ac:dyDescent="0.3">
      <c r="C58" s="24"/>
      <c r="D58" s="244"/>
      <c r="E58" s="245"/>
      <c r="F58" s="246"/>
      <c r="G58" s="244"/>
      <c r="H58" s="245"/>
      <c r="I58" s="43"/>
      <c r="J58" s="43"/>
    </row>
    <row r="59" spans="3:14" s="54" customFormat="1" ht="16.899999999999999" customHeight="1" x14ac:dyDescent="0.3">
      <c r="C59" s="24"/>
      <c r="D59" s="90" t="s">
        <v>71</v>
      </c>
      <c r="E59" s="57"/>
      <c r="F59" s="95"/>
      <c r="G59" s="43"/>
      <c r="H59" s="43"/>
      <c r="I59" s="43"/>
      <c r="J59" s="43"/>
    </row>
    <row r="60" spans="3:14" s="54" customFormat="1" ht="15" customHeight="1" x14ac:dyDescent="0.3">
      <c r="C60" s="24"/>
      <c r="D60" s="347">
        <f>Zadání!B33</f>
        <v>0</v>
      </c>
      <c r="E60" s="348"/>
      <c r="F60" s="348"/>
      <c r="G60" s="348"/>
      <c r="H60" s="349"/>
      <c r="I60" s="43"/>
      <c r="J60" s="43"/>
    </row>
    <row r="61" spans="3:14" s="54" customFormat="1" ht="15" customHeight="1" x14ac:dyDescent="0.3">
      <c r="C61" s="24"/>
      <c r="D61" s="350"/>
      <c r="E61" s="351"/>
      <c r="F61" s="351"/>
      <c r="G61" s="351"/>
      <c r="H61" s="352"/>
      <c r="I61" s="43"/>
      <c r="J61" s="43"/>
    </row>
    <row r="62" spans="3:14" s="54" customFormat="1" ht="10.15" customHeight="1" x14ac:dyDescent="0.3">
      <c r="C62" s="24"/>
      <c r="D62" s="43"/>
      <c r="E62" s="43"/>
      <c r="F62" s="43"/>
      <c r="G62" s="43"/>
      <c r="H62" s="43"/>
      <c r="I62" s="43"/>
      <c r="J62" s="43"/>
    </row>
    <row r="63" spans="3:14" s="54" customFormat="1" ht="15" customHeight="1" x14ac:dyDescent="0.3">
      <c r="C63" s="24"/>
      <c r="D63" s="57" t="s">
        <v>69</v>
      </c>
      <c r="E63" s="57"/>
      <c r="F63" s="43"/>
      <c r="G63" s="57" t="s">
        <v>67</v>
      </c>
      <c r="H63" s="57"/>
      <c r="I63" s="43"/>
      <c r="J63" s="43"/>
    </row>
    <row r="64" spans="3:14" ht="15.6" customHeight="1" x14ac:dyDescent="0.3">
      <c r="D64" s="322">
        <f>F16</f>
        <v>0</v>
      </c>
      <c r="E64" s="323"/>
      <c r="F64" s="57"/>
      <c r="G64" s="322">
        <f>Zadání!C17</f>
        <v>0</v>
      </c>
      <c r="H64" s="323"/>
      <c r="I64" s="57"/>
      <c r="J64" s="43"/>
      <c r="K64" s="54"/>
      <c r="L64" s="54"/>
      <c r="M64" s="54"/>
      <c r="N64" s="54"/>
    </row>
    <row r="65" spans="4:14" ht="14.45" customHeight="1" x14ac:dyDescent="0.3">
      <c r="D65" s="324"/>
      <c r="E65" s="325"/>
      <c r="F65" s="57"/>
      <c r="G65" s="324"/>
      <c r="H65" s="325"/>
      <c r="I65" s="57"/>
      <c r="J65" s="43"/>
      <c r="K65" s="54"/>
      <c r="L65" s="54"/>
      <c r="M65" s="54"/>
      <c r="N65" s="54"/>
    </row>
    <row r="66" spans="4:14" ht="10.15" customHeight="1" x14ac:dyDescent="0.3">
      <c r="D66" s="57"/>
      <c r="E66" s="57"/>
      <c r="F66" s="57"/>
      <c r="G66" s="57"/>
      <c r="H66" s="57"/>
      <c r="I66" s="57"/>
      <c r="J66" s="43"/>
      <c r="K66" s="54"/>
      <c r="L66" s="54"/>
      <c r="M66" s="54"/>
      <c r="N66" s="54"/>
    </row>
    <row r="67" spans="4:14" ht="18.75" x14ac:dyDescent="0.3">
      <c r="D67" s="57" t="s">
        <v>70</v>
      </c>
      <c r="E67" s="57"/>
      <c r="F67" s="57"/>
      <c r="G67" s="57" t="s">
        <v>68</v>
      </c>
      <c r="H67" s="57"/>
      <c r="I67" s="57"/>
      <c r="J67" s="43"/>
      <c r="K67" s="54"/>
      <c r="L67" s="54"/>
      <c r="M67" s="54"/>
      <c r="N67" s="54"/>
    </row>
    <row r="68" spans="4:14" ht="16.149999999999999" customHeight="1" x14ac:dyDescent="0.3">
      <c r="D68" s="322">
        <f>Zadání!C36</f>
        <v>0</v>
      </c>
      <c r="E68" s="323"/>
      <c r="F68" s="57"/>
      <c r="G68" s="326">
        <f>Datum</f>
        <v>0</v>
      </c>
      <c r="H68" s="327"/>
      <c r="I68" s="57"/>
      <c r="J68" s="43"/>
      <c r="K68" s="54"/>
      <c r="L68" s="54"/>
      <c r="M68" s="54"/>
      <c r="N68" s="54"/>
    </row>
    <row r="69" spans="4:14" ht="14.45" customHeight="1" x14ac:dyDescent="0.3">
      <c r="D69" s="324"/>
      <c r="E69" s="325"/>
      <c r="F69" s="57"/>
      <c r="G69" s="328"/>
      <c r="H69" s="329"/>
      <c r="I69" s="57"/>
      <c r="J69" s="57"/>
    </row>
    <row r="70" spans="4:14" ht="18.75" x14ac:dyDescent="0.3">
      <c r="D70" s="57"/>
      <c r="E70" s="57"/>
      <c r="F70" s="57"/>
      <c r="G70" s="57"/>
      <c r="H70" s="57"/>
      <c r="I70" s="57"/>
      <c r="J70" s="57"/>
    </row>
  </sheetData>
  <sheetProtection algorithmName="SHA-512" hashValue="XhgHO1kelqztbdO0wZ4gCG27BVBFXPeMKwgv9yRxlN+FKRpRI6Myea+OOd7MKik+ubZkBOX3TVnoG7MonOW+sQ==" saltValue="+mAjlZ6n2iP0tFTfJQsrFQ==" spinCount="100000" sheet="1" selectLockedCells="1" selectUnlockedCells="1"/>
  <protectedRanges>
    <protectedRange sqref="F23" name="Oblast10"/>
    <protectedRange sqref="F55" name="Oblast9"/>
    <protectedRange sqref="F51:F53" name="Oblast8"/>
    <protectedRange sqref="F39" name="Oblast7"/>
    <protectedRange sqref="F30" name="Oblast5"/>
    <protectedRange sqref="F21" name="Oblast4"/>
    <protectedRange sqref="H6" name="Oblast3"/>
    <protectedRange sqref="H6 F12:H19 F21 F55 F39 F51:F53 E9 F28:F34 G9:H10 F10" name="Oblast1"/>
  </protectedRanges>
  <mergeCells count="74">
    <mergeCell ref="D33:E33"/>
    <mergeCell ref="B3:J3"/>
    <mergeCell ref="G26:H26"/>
    <mergeCell ref="F12:H12"/>
    <mergeCell ref="F13:H13"/>
    <mergeCell ref="F14:H14"/>
    <mergeCell ref="F15:H15"/>
    <mergeCell ref="F16:H16"/>
    <mergeCell ref="F17:H17"/>
    <mergeCell ref="F18:H18"/>
    <mergeCell ref="F23:H23"/>
    <mergeCell ref="F24:H24"/>
    <mergeCell ref="D12:E12"/>
    <mergeCell ref="D13:E13"/>
    <mergeCell ref="D15:E15"/>
    <mergeCell ref="D16:E16"/>
    <mergeCell ref="D68:E69"/>
    <mergeCell ref="G64:H65"/>
    <mergeCell ref="G68:H69"/>
    <mergeCell ref="D52:E52"/>
    <mergeCell ref="D64:E65"/>
    <mergeCell ref="G53:H53"/>
    <mergeCell ref="D53:E53"/>
    <mergeCell ref="D55:E55"/>
    <mergeCell ref="G57:H57"/>
    <mergeCell ref="D57:E57"/>
    <mergeCell ref="D56:E56"/>
    <mergeCell ref="G55:H55"/>
    <mergeCell ref="F56:H56"/>
    <mergeCell ref="D60:H61"/>
    <mergeCell ref="G52:H52"/>
    <mergeCell ref="D2:I2"/>
    <mergeCell ref="F19:H19"/>
    <mergeCell ref="G33:H33"/>
    <mergeCell ref="G28:H28"/>
    <mergeCell ref="F22:H22"/>
    <mergeCell ref="G31:H31"/>
    <mergeCell ref="G29:H29"/>
    <mergeCell ref="G27:H27"/>
    <mergeCell ref="G30:H30"/>
    <mergeCell ref="D21:E21"/>
    <mergeCell ref="D26:E26"/>
    <mergeCell ref="D22:E22"/>
    <mergeCell ref="D27:E27"/>
    <mergeCell ref="D24:E24"/>
    <mergeCell ref="D23:E23"/>
    <mergeCell ref="E9:H9"/>
    <mergeCell ref="G32:H32"/>
    <mergeCell ref="F21:H21"/>
    <mergeCell ref="D14:E14"/>
    <mergeCell ref="D18:E18"/>
    <mergeCell ref="D19:E19"/>
    <mergeCell ref="D17:E17"/>
    <mergeCell ref="D31:E31"/>
    <mergeCell ref="D28:E28"/>
    <mergeCell ref="D29:E29"/>
    <mergeCell ref="D30:E30"/>
    <mergeCell ref="D32:E32"/>
    <mergeCell ref="D51:E51"/>
    <mergeCell ref="D41:E41"/>
    <mergeCell ref="G34:H34"/>
    <mergeCell ref="D42:E42"/>
    <mergeCell ref="D43:E43"/>
    <mergeCell ref="D44:E44"/>
    <mergeCell ref="D45:E45"/>
    <mergeCell ref="D38:E38"/>
    <mergeCell ref="D40:E40"/>
    <mergeCell ref="D35:E35"/>
    <mergeCell ref="D39:E39"/>
    <mergeCell ref="G51:H51"/>
    <mergeCell ref="D46:E46"/>
    <mergeCell ref="D47:E47"/>
    <mergeCell ref="D34:E34"/>
    <mergeCell ref="D48:H49"/>
  </mergeCells>
  <phoneticPr fontId="6" type="noConversion"/>
  <conditionalFormatting sqref="D48:H49">
    <cfRule type="containsText" dxfId="11" priority="1" operator="containsText" text="Pozor! Tato konfigurace nelze použít, prosím upravte zadání.">
      <formula>NOT(ISERROR(SEARCH("Pozor! Tato konfigurace nelze použít, prosím upravte zadání.",D48)))</formula>
    </cfRule>
  </conditionalFormatting>
  <dataValidations disablePrompts="1" count="1">
    <dataValidation type="decimal" errorStyle="warning" allowBlank="1" showInputMessage="1" errorTitle="Příliš velký proud" error="Jmenovitý proud rozváďěč InA nesmí být větší než 250 A" sqref="F30" xr:uid="{00000000-0002-0000-0300-000000000000}">
      <formula1>0</formula1>
      <formula2>250</formula2>
    </dataValidation>
  </dataValidations>
  <pageMargins left="0.19685039370078741" right="0.19685039370078741" top="0.39370078740157483" bottom="0.55118110236220474" header="0.31496062992125984" footer="0.31496062992125984"/>
  <pageSetup paperSize="9" scale="69" orientation="portrait" r:id="rId1"/>
  <headerFooter>
    <oddFooter>&amp;CVytvořeno pomocí SchrackNorm_PVA. Více informací na schracknorm@schrack.cz</oddFooter>
  </headerFooter>
  <ignoredErrors>
    <ignoredError sqref="G68" unlocked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ist4">
    <tabColor theme="3"/>
  </sheetPr>
  <dimension ref="B1:N68"/>
  <sheetViews>
    <sheetView showGridLines="0" showZeros="0" view="pageBreakPreview" zoomScale="70" zoomScaleNormal="70" zoomScaleSheetLayoutView="70" workbookViewId="0">
      <selection activeCell="H4" sqref="H4"/>
    </sheetView>
  </sheetViews>
  <sheetFormatPr defaultColWidth="8.85546875" defaultRowHeight="15" x14ac:dyDescent="0.25"/>
  <cols>
    <col min="1" max="1" width="2.140625" customWidth="1"/>
    <col min="2" max="2" width="5.28515625" customWidth="1"/>
    <col min="3" max="3" width="5.42578125" customWidth="1"/>
    <col min="4" max="4" width="42.7109375" customWidth="1"/>
    <col min="5" max="5" width="45.42578125" customWidth="1"/>
    <col min="6" max="6" width="14" style="37" customWidth="1"/>
    <col min="7" max="7" width="5.85546875" style="37" customWidth="1"/>
    <col min="8" max="8" width="15.7109375" customWidth="1"/>
    <col min="9" max="9" width="13.28515625" customWidth="1"/>
    <col min="10" max="10" width="5" customWidth="1"/>
  </cols>
  <sheetData>
    <row r="1" spans="2:10" ht="17.45" customHeight="1" x14ac:dyDescent="0.3">
      <c r="B1" s="79" t="s">
        <v>110</v>
      </c>
      <c r="C1" s="78"/>
      <c r="E1" s="36"/>
    </row>
    <row r="2" spans="2:10" ht="15" customHeight="1" x14ac:dyDescent="0.3">
      <c r="J2" s="96" t="str">
        <f>'1. Charakteristiky rozhraní'!J2</f>
        <v>verze 1.08</v>
      </c>
    </row>
    <row r="3" spans="2:10" ht="45.6" customHeight="1" x14ac:dyDescent="0.25">
      <c r="D3" s="207"/>
    </row>
    <row r="4" spans="2:10" ht="15" customHeight="1" x14ac:dyDescent="0.25"/>
    <row r="5" spans="2:10" ht="34.9" customHeight="1" x14ac:dyDescent="0.5">
      <c r="B5" s="412" t="s">
        <v>184</v>
      </c>
      <c r="C5" s="413"/>
      <c r="D5" s="413"/>
      <c r="E5" s="413"/>
      <c r="F5" s="413"/>
      <c r="G5" s="413"/>
      <c r="H5" s="413"/>
      <c r="I5" s="413"/>
      <c r="J5" s="413"/>
    </row>
    <row r="6" spans="2:10" s="40" customFormat="1" ht="20.100000000000001" customHeight="1" x14ac:dyDescent="0.25"/>
    <row r="7" spans="2:10" s="40" customFormat="1" ht="20.100000000000001" customHeight="1" x14ac:dyDescent="0.35">
      <c r="B7" s="41"/>
      <c r="C7" s="42"/>
      <c r="D7" s="42"/>
      <c r="E7" s="42"/>
      <c r="F7" s="42"/>
      <c r="G7" s="42"/>
      <c r="H7" s="42"/>
      <c r="I7" s="42"/>
      <c r="J7" s="42"/>
    </row>
    <row r="8" spans="2:10" ht="15" customHeight="1" x14ac:dyDescent="0.25">
      <c r="D8" s="405" t="str">
        <f>IF(Zadání!F8="","",Zadání!F8)</f>
        <v/>
      </c>
      <c r="E8" s="408" t="s">
        <v>5</v>
      </c>
      <c r="F8" s="375" t="str">
        <f>'Zdrojová data'!S16</f>
        <v>F-05-1-1A8-16/1000-1/3/12-S</v>
      </c>
      <c r="G8" s="376"/>
      <c r="H8" s="376"/>
      <c r="I8" s="377"/>
    </row>
    <row r="9" spans="2:10" s="24" customFormat="1" ht="15" customHeight="1" x14ac:dyDescent="0.25">
      <c r="D9" s="406"/>
      <c r="E9" s="408"/>
      <c r="F9" s="378"/>
      <c r="G9" s="379"/>
      <c r="H9" s="379"/>
      <c r="I9" s="380"/>
    </row>
    <row r="10" spans="2:10" s="43" customFormat="1" ht="17.100000000000001" customHeight="1" x14ac:dyDescent="0.3">
      <c r="D10" s="406"/>
      <c r="E10" s="103"/>
      <c r="F10" s="105"/>
      <c r="G10" s="104"/>
      <c r="H10" s="100"/>
      <c r="I10" s="100"/>
    </row>
    <row r="11" spans="2:10" s="43" customFormat="1" ht="17.100000000000001" customHeight="1" x14ac:dyDescent="0.3">
      <c r="D11" s="406"/>
      <c r="E11" s="408" t="s">
        <v>38</v>
      </c>
      <c r="F11" s="381">
        <f>'1. Charakteristiky rozhraní'!F21</f>
        <v>0</v>
      </c>
      <c r="G11" s="382"/>
      <c r="H11" s="382"/>
      <c r="I11" s="383"/>
    </row>
    <row r="12" spans="2:10" s="43" customFormat="1" ht="17.100000000000001" customHeight="1" x14ac:dyDescent="0.3">
      <c r="D12" s="406"/>
      <c r="E12" s="408"/>
      <c r="F12" s="384"/>
      <c r="G12" s="385"/>
      <c r="H12" s="385"/>
      <c r="I12" s="386"/>
    </row>
    <row r="13" spans="2:10" s="24" customFormat="1" ht="15" customHeight="1" x14ac:dyDescent="0.25">
      <c r="D13" s="406"/>
      <c r="E13" s="61"/>
      <c r="F13" s="106"/>
      <c r="G13" s="102"/>
      <c r="H13" s="107"/>
      <c r="I13" s="107"/>
    </row>
    <row r="14" spans="2:10" s="24" customFormat="1" ht="15" customHeight="1" x14ac:dyDescent="0.25">
      <c r="D14" s="406"/>
      <c r="E14" s="408" t="s">
        <v>34</v>
      </c>
      <c r="F14" s="387">
        <f>VyrCislo</f>
        <v>0</v>
      </c>
      <c r="G14" s="388"/>
      <c r="H14" s="388"/>
      <c r="I14" s="389"/>
    </row>
    <row r="15" spans="2:10" s="24" customFormat="1" ht="17.100000000000001" customHeight="1" x14ac:dyDescent="0.25">
      <c r="D15" s="407"/>
      <c r="E15" s="408"/>
      <c r="F15" s="390"/>
      <c r="G15" s="391"/>
      <c r="H15" s="391"/>
      <c r="I15" s="392"/>
    </row>
    <row r="16" spans="2:10" s="24" customFormat="1" ht="17.100000000000001" customHeight="1" x14ac:dyDescent="0.25">
      <c r="D16" s="108"/>
      <c r="E16" s="45"/>
      <c r="F16" s="38"/>
      <c r="G16" s="44"/>
    </row>
    <row r="17" spans="3:9" s="24" customFormat="1" ht="17.100000000000001" customHeight="1" x14ac:dyDescent="0.25">
      <c r="F17" s="31"/>
      <c r="G17" s="31"/>
    </row>
    <row r="18" spans="3:9" s="24" customFormat="1" ht="17.100000000000001" customHeight="1" x14ac:dyDescent="0.25">
      <c r="C18" s="46"/>
      <c r="D18" s="47" t="s">
        <v>44</v>
      </c>
      <c r="E18" s="47" t="s">
        <v>45</v>
      </c>
      <c r="F18" s="48" t="s">
        <v>46</v>
      </c>
      <c r="G18" s="396" t="s">
        <v>47</v>
      </c>
      <c r="H18" s="396"/>
      <c r="I18" s="47" t="s">
        <v>48</v>
      </c>
    </row>
    <row r="19" spans="3:9" s="24" customFormat="1" ht="17.100000000000001" customHeight="1" x14ac:dyDescent="0.25">
      <c r="C19" s="401">
        <v>1</v>
      </c>
      <c r="D19" s="393" t="s">
        <v>134</v>
      </c>
      <c r="E19" s="420" t="str">
        <f>"Prohlídka, IP "&amp;'1. Charakteristiky rozhraní'!F39</f>
        <v>Prohlídka, IP 65/20</v>
      </c>
      <c r="F19" s="401" t="s">
        <v>0</v>
      </c>
      <c r="G19" s="416">
        <f>'1. Charakteristiky rozhraní'!F16</f>
        <v>0</v>
      </c>
      <c r="H19" s="417"/>
      <c r="I19" s="414">
        <f>'1. Charakteristiky rozhraní'!F24</f>
        <v>0</v>
      </c>
    </row>
    <row r="20" spans="3:9" s="24" customFormat="1" ht="17.100000000000001" customHeight="1" x14ac:dyDescent="0.25">
      <c r="C20" s="402"/>
      <c r="D20" s="394"/>
      <c r="E20" s="421"/>
      <c r="F20" s="402"/>
      <c r="G20" s="418"/>
      <c r="H20" s="419"/>
      <c r="I20" s="415"/>
    </row>
    <row r="21" spans="3:9" s="24" customFormat="1" ht="17.100000000000001" customHeight="1" x14ac:dyDescent="0.25">
      <c r="C21" s="216"/>
      <c r="D21" s="216"/>
      <c r="E21" s="217"/>
      <c r="F21" s="218"/>
      <c r="G21" s="219"/>
      <c r="H21" s="67"/>
      <c r="I21" s="220"/>
    </row>
    <row r="22" spans="3:9" s="24" customFormat="1" ht="17.100000000000001" customHeight="1" x14ac:dyDescent="0.25">
      <c r="C22" s="401">
        <v>2</v>
      </c>
      <c r="D22" s="393" t="s">
        <v>135</v>
      </c>
      <c r="E22" s="393" t="s">
        <v>185</v>
      </c>
      <c r="F22" s="401" t="s">
        <v>0</v>
      </c>
      <c r="G22" s="397">
        <f>G19</f>
        <v>0</v>
      </c>
      <c r="H22" s="398"/>
      <c r="I22" s="403">
        <f>I19</f>
        <v>0</v>
      </c>
    </row>
    <row r="23" spans="3:9" s="24" customFormat="1" ht="17.100000000000001" customHeight="1" x14ac:dyDescent="0.25">
      <c r="C23" s="402"/>
      <c r="D23" s="394"/>
      <c r="E23" s="394"/>
      <c r="F23" s="402"/>
      <c r="G23" s="399"/>
      <c r="H23" s="400"/>
      <c r="I23" s="404"/>
    </row>
    <row r="24" spans="3:9" s="24" customFormat="1" ht="17.100000000000001" customHeight="1" x14ac:dyDescent="0.25">
      <c r="C24" s="221"/>
      <c r="D24" s="222"/>
      <c r="E24" s="222"/>
      <c r="F24" s="221"/>
      <c r="G24" s="213"/>
      <c r="H24" s="214"/>
      <c r="I24" s="215"/>
    </row>
    <row r="25" spans="3:9" s="24" customFormat="1" ht="17.100000000000001" customHeight="1" x14ac:dyDescent="0.25">
      <c r="C25" s="401">
        <v>3</v>
      </c>
      <c r="D25" s="393" t="s">
        <v>136</v>
      </c>
      <c r="E25" s="393" t="s">
        <v>186</v>
      </c>
      <c r="F25" s="401" t="s">
        <v>0</v>
      </c>
      <c r="G25" s="397">
        <f>G19</f>
        <v>0</v>
      </c>
      <c r="H25" s="398"/>
      <c r="I25" s="403">
        <f>I19</f>
        <v>0</v>
      </c>
    </row>
    <row r="26" spans="3:9" s="24" customFormat="1" ht="17.100000000000001" customHeight="1" x14ac:dyDescent="0.25">
      <c r="C26" s="402"/>
      <c r="D26" s="394"/>
      <c r="E26" s="394"/>
      <c r="F26" s="402"/>
      <c r="G26" s="399"/>
      <c r="H26" s="400"/>
      <c r="I26" s="404"/>
    </row>
    <row r="27" spans="3:9" s="24" customFormat="1" ht="17.100000000000001" customHeight="1" x14ac:dyDescent="0.25">
      <c r="C27" s="209"/>
      <c r="D27" s="209"/>
      <c r="E27" s="223"/>
      <c r="F27" s="210"/>
      <c r="G27" s="219"/>
      <c r="H27" s="224"/>
      <c r="I27" s="225"/>
    </row>
    <row r="28" spans="3:9" s="24" customFormat="1" ht="17.100000000000001" customHeight="1" x14ac:dyDescent="0.25">
      <c r="C28" s="401">
        <v>4</v>
      </c>
      <c r="D28" s="393" t="s">
        <v>137</v>
      </c>
      <c r="E28" s="393" t="s">
        <v>49</v>
      </c>
      <c r="F28" s="401" t="s">
        <v>66</v>
      </c>
      <c r="G28" s="397">
        <f>G19</f>
        <v>0</v>
      </c>
      <c r="H28" s="398"/>
      <c r="I28" s="403">
        <f>I19</f>
        <v>0</v>
      </c>
    </row>
    <row r="29" spans="3:9" s="24" customFormat="1" ht="17.100000000000001" customHeight="1" x14ac:dyDescent="0.25">
      <c r="C29" s="402"/>
      <c r="D29" s="394"/>
      <c r="E29" s="394"/>
      <c r="F29" s="402"/>
      <c r="G29" s="399"/>
      <c r="H29" s="400"/>
      <c r="I29" s="404"/>
    </row>
    <row r="30" spans="3:9" s="24" customFormat="1" ht="17.100000000000001" customHeight="1" x14ac:dyDescent="0.25">
      <c r="C30" s="216"/>
      <c r="D30" s="218"/>
      <c r="E30" s="218"/>
      <c r="F30" s="218"/>
      <c r="G30" s="226"/>
      <c r="H30" s="227"/>
      <c r="I30" s="228"/>
    </row>
    <row r="31" spans="3:9" s="24" customFormat="1" ht="17.100000000000001" customHeight="1" x14ac:dyDescent="0.25">
      <c r="C31" s="401">
        <v>5</v>
      </c>
      <c r="D31" s="393" t="s">
        <v>138</v>
      </c>
      <c r="E31" s="393" t="s">
        <v>50</v>
      </c>
      <c r="F31" s="401" t="s">
        <v>0</v>
      </c>
      <c r="G31" s="397">
        <f>G19</f>
        <v>0</v>
      </c>
      <c r="H31" s="398"/>
      <c r="I31" s="403">
        <f>I19</f>
        <v>0</v>
      </c>
    </row>
    <row r="32" spans="3:9" s="24" customFormat="1" ht="17.100000000000001" customHeight="1" x14ac:dyDescent="0.25">
      <c r="C32" s="402"/>
      <c r="D32" s="394"/>
      <c r="E32" s="394"/>
      <c r="F32" s="402"/>
      <c r="G32" s="399"/>
      <c r="H32" s="400"/>
      <c r="I32" s="404"/>
    </row>
    <row r="33" spans="3:9" s="24" customFormat="1" ht="17.100000000000001" customHeight="1" x14ac:dyDescent="0.25">
      <c r="C33" s="229"/>
      <c r="D33" s="230"/>
      <c r="E33" s="230"/>
      <c r="F33" s="230"/>
      <c r="G33" s="213"/>
      <c r="H33" s="214"/>
      <c r="I33" s="215"/>
    </row>
    <row r="34" spans="3:9" s="24" customFormat="1" ht="17.100000000000001" customHeight="1" x14ac:dyDescent="0.25">
      <c r="C34" s="401">
        <v>6</v>
      </c>
      <c r="D34" s="393" t="s">
        <v>139</v>
      </c>
      <c r="E34" s="393" t="s">
        <v>54</v>
      </c>
      <c r="F34" s="401" t="s">
        <v>0</v>
      </c>
      <c r="G34" s="397">
        <f>G19</f>
        <v>0</v>
      </c>
      <c r="H34" s="398"/>
      <c r="I34" s="403">
        <f>I19</f>
        <v>0</v>
      </c>
    </row>
    <row r="35" spans="3:9" s="24" customFormat="1" ht="17.100000000000001" customHeight="1" x14ac:dyDescent="0.25">
      <c r="C35" s="409"/>
      <c r="D35" s="395"/>
      <c r="E35" s="395"/>
      <c r="F35" s="402"/>
      <c r="G35" s="399"/>
      <c r="H35" s="400"/>
      <c r="I35" s="404"/>
    </row>
    <row r="36" spans="3:9" s="24" customFormat="1" ht="17.100000000000001" customHeight="1" x14ac:dyDescent="0.25">
      <c r="C36" s="209"/>
      <c r="D36" s="210"/>
      <c r="E36" s="210"/>
      <c r="F36" s="210"/>
      <c r="G36" s="213"/>
      <c r="H36" s="214"/>
      <c r="I36" s="215"/>
    </row>
    <row r="37" spans="3:9" s="24" customFormat="1" ht="17.100000000000001" customHeight="1" x14ac:dyDescent="0.25">
      <c r="C37" s="401">
        <v>7</v>
      </c>
      <c r="D37" s="393" t="s">
        <v>140</v>
      </c>
      <c r="E37" s="393" t="s">
        <v>53</v>
      </c>
      <c r="F37" s="401" t="s">
        <v>0</v>
      </c>
      <c r="G37" s="397">
        <f>G19</f>
        <v>0</v>
      </c>
      <c r="H37" s="398"/>
      <c r="I37" s="403">
        <f>I19</f>
        <v>0</v>
      </c>
    </row>
    <row r="38" spans="3:9" s="24" customFormat="1" ht="17.100000000000001" customHeight="1" x14ac:dyDescent="0.25">
      <c r="C38" s="409"/>
      <c r="D38" s="394"/>
      <c r="E38" s="394"/>
      <c r="F38" s="402"/>
      <c r="G38" s="399"/>
      <c r="H38" s="400"/>
      <c r="I38" s="404"/>
    </row>
    <row r="39" spans="3:9" s="24" customFormat="1" ht="17.100000000000001" customHeight="1" x14ac:dyDescent="0.25">
      <c r="C39" s="209"/>
      <c r="D39" s="210"/>
      <c r="E39" s="210"/>
      <c r="F39" s="210"/>
      <c r="G39" s="213"/>
      <c r="H39" s="214"/>
      <c r="I39" s="215"/>
    </row>
    <row r="40" spans="3:9" s="24" customFormat="1" ht="17.100000000000001" customHeight="1" x14ac:dyDescent="0.25">
      <c r="C40" s="401">
        <v>8</v>
      </c>
      <c r="D40" s="393" t="s">
        <v>141</v>
      </c>
      <c r="E40" s="393" t="s">
        <v>52</v>
      </c>
      <c r="F40" s="401" t="s">
        <v>0</v>
      </c>
      <c r="G40" s="397">
        <f>G19</f>
        <v>0</v>
      </c>
      <c r="H40" s="398"/>
      <c r="I40" s="403">
        <f>I19</f>
        <v>0</v>
      </c>
    </row>
    <row r="41" spans="3:9" s="24" customFormat="1" ht="17.100000000000001" customHeight="1" x14ac:dyDescent="0.25">
      <c r="C41" s="409"/>
      <c r="D41" s="394"/>
      <c r="E41" s="394"/>
      <c r="F41" s="402"/>
      <c r="G41" s="399"/>
      <c r="H41" s="400"/>
      <c r="I41" s="404"/>
    </row>
    <row r="42" spans="3:9" s="24" customFormat="1" ht="17.100000000000001" customHeight="1" x14ac:dyDescent="0.25">
      <c r="C42" s="209"/>
      <c r="D42" s="210"/>
      <c r="E42" s="210"/>
      <c r="F42" s="101"/>
      <c r="G42" s="213"/>
      <c r="H42" s="214"/>
      <c r="I42" s="215"/>
    </row>
    <row r="43" spans="3:9" s="24" customFormat="1" ht="17.100000000000001" customHeight="1" x14ac:dyDescent="0.25">
      <c r="C43" s="401">
        <v>9</v>
      </c>
      <c r="D43" s="393" t="s">
        <v>142</v>
      </c>
      <c r="E43" s="393" t="s">
        <v>328</v>
      </c>
      <c r="F43" s="410"/>
      <c r="G43" s="397">
        <f>G19</f>
        <v>0</v>
      </c>
      <c r="H43" s="398"/>
      <c r="I43" s="403">
        <f>I19</f>
        <v>0</v>
      </c>
    </row>
    <row r="44" spans="3:9" s="24" customFormat="1" ht="17.100000000000001" customHeight="1" x14ac:dyDescent="0.25">
      <c r="C44" s="409"/>
      <c r="D44" s="394"/>
      <c r="E44" s="394"/>
      <c r="F44" s="411"/>
      <c r="G44" s="399"/>
      <c r="H44" s="400"/>
      <c r="I44" s="404"/>
    </row>
    <row r="45" spans="3:9" s="24" customFormat="1" ht="17.100000000000001" customHeight="1" x14ac:dyDescent="0.25">
      <c r="C45" s="209"/>
      <c r="D45" s="210"/>
      <c r="E45" s="210"/>
      <c r="F45" s="210"/>
      <c r="G45" s="211"/>
      <c r="H45" s="211"/>
      <c r="I45" s="212"/>
    </row>
    <row r="46" spans="3:9" s="24" customFormat="1" ht="17.100000000000001" customHeight="1" x14ac:dyDescent="0.25">
      <c r="C46" s="401">
        <v>10</v>
      </c>
      <c r="D46" s="393" t="s">
        <v>143</v>
      </c>
      <c r="E46" s="393" t="s">
        <v>51</v>
      </c>
      <c r="F46" s="401" t="s">
        <v>0</v>
      </c>
      <c r="G46" s="397">
        <f>G19</f>
        <v>0</v>
      </c>
      <c r="H46" s="398"/>
      <c r="I46" s="403">
        <f>I19</f>
        <v>0</v>
      </c>
    </row>
    <row r="47" spans="3:9" s="24" customFormat="1" ht="17.100000000000001" customHeight="1" x14ac:dyDescent="0.25">
      <c r="C47" s="409"/>
      <c r="D47" s="394"/>
      <c r="E47" s="394"/>
      <c r="F47" s="402"/>
      <c r="G47" s="399"/>
      <c r="H47" s="400"/>
      <c r="I47" s="404"/>
    </row>
    <row r="48" spans="3:9" s="24" customFormat="1" ht="17.100000000000001" customHeight="1" x14ac:dyDescent="0.25">
      <c r="C48" s="39"/>
      <c r="D48" s="32"/>
      <c r="E48" s="32"/>
      <c r="F48" s="49"/>
      <c r="G48" s="39"/>
      <c r="H48" s="39"/>
      <c r="I48" s="50"/>
    </row>
    <row r="49" spans="4:14" s="24" customFormat="1" ht="17.100000000000001" customHeight="1" x14ac:dyDescent="0.3">
      <c r="D49" s="90"/>
      <c r="F49" s="31"/>
      <c r="G49" s="31"/>
    </row>
    <row r="50" spans="4:14" s="24" customFormat="1" ht="17.100000000000001" customHeight="1" x14ac:dyDescent="0.3">
      <c r="D50" s="90" t="s">
        <v>55</v>
      </c>
      <c r="F50" s="31"/>
      <c r="G50" s="31"/>
    </row>
    <row r="51" spans="4:14" s="24" customFormat="1" ht="17.100000000000001" customHeight="1" x14ac:dyDescent="0.3">
      <c r="D51" s="93"/>
      <c r="F51" s="31"/>
      <c r="G51" s="31"/>
    </row>
    <row r="52" spans="4:14" s="24" customFormat="1" ht="17.100000000000001" customHeight="1" x14ac:dyDescent="0.25">
      <c r="D52" s="98" t="s">
        <v>56</v>
      </c>
      <c r="E52" s="51" t="s">
        <v>34</v>
      </c>
      <c r="F52" s="428" t="s">
        <v>57</v>
      </c>
      <c r="G52" s="429"/>
      <c r="H52" s="430"/>
    </row>
    <row r="53" spans="4:14" s="24" customFormat="1" ht="17.100000000000001" customHeight="1" x14ac:dyDescent="0.25">
      <c r="D53" s="268"/>
      <c r="E53" s="269"/>
      <c r="F53" s="425"/>
      <c r="G53" s="426"/>
      <c r="H53" s="427"/>
    </row>
    <row r="54" spans="4:14" s="24" customFormat="1" ht="17.100000000000001" customHeight="1" x14ac:dyDescent="0.25">
      <c r="D54" s="270"/>
      <c r="E54" s="271"/>
      <c r="F54" s="431"/>
      <c r="G54" s="432"/>
      <c r="H54" s="433"/>
    </row>
    <row r="55" spans="4:14" s="24" customFormat="1" ht="17.100000000000001" customHeight="1" x14ac:dyDescent="0.25">
      <c r="D55" s="270"/>
      <c r="E55" s="271"/>
      <c r="F55" s="431"/>
      <c r="G55" s="432"/>
      <c r="H55" s="433"/>
    </row>
    <row r="56" spans="4:14" s="24" customFormat="1" ht="17.100000000000001" customHeight="1" x14ac:dyDescent="0.25">
      <c r="D56" s="272"/>
      <c r="E56" s="273"/>
      <c r="F56" s="422"/>
      <c r="G56" s="423"/>
      <c r="H56" s="424"/>
    </row>
    <row r="57" spans="4:14" s="24" customFormat="1" ht="17.100000000000001" customHeight="1" x14ac:dyDescent="0.25">
      <c r="F57" s="31"/>
      <c r="G57" s="31"/>
    </row>
    <row r="58" spans="4:14" s="24" customFormat="1" ht="17.100000000000001" customHeight="1" x14ac:dyDescent="0.35">
      <c r="D58" s="205" t="s">
        <v>144</v>
      </c>
      <c r="F58" s="31"/>
      <c r="G58" s="31"/>
    </row>
    <row r="59" spans="4:14" s="24" customFormat="1" ht="17.100000000000001" customHeight="1" x14ac:dyDescent="0.25">
      <c r="E59" s="206"/>
      <c r="F59" s="30"/>
      <c r="G59" s="30"/>
      <c r="H59" s="30"/>
      <c r="I59" s="30"/>
    </row>
    <row r="60" spans="4:14" s="24" customFormat="1" ht="17.100000000000001" customHeight="1" x14ac:dyDescent="0.25">
      <c r="E60" s="52"/>
      <c r="F60" s="30"/>
      <c r="G60" s="30"/>
      <c r="H60" s="30"/>
      <c r="I60" s="30"/>
    </row>
    <row r="61" spans="4:14" s="24" customFormat="1" ht="17.100000000000001" customHeight="1" x14ac:dyDescent="0.25">
      <c r="E61" s="52"/>
      <c r="F61" s="31"/>
      <c r="G61" s="31"/>
    </row>
    <row r="62" spans="4:14" ht="15" customHeight="1" x14ac:dyDescent="0.25">
      <c r="E62" s="7"/>
      <c r="J62" s="24"/>
      <c r="K62" s="24"/>
      <c r="L62" s="24"/>
      <c r="M62" s="24"/>
      <c r="N62" s="24"/>
    </row>
    <row r="63" spans="4:14" ht="15" customHeight="1" x14ac:dyDescent="0.25">
      <c r="E63" s="7"/>
      <c r="J63" s="24"/>
      <c r="K63" s="24"/>
      <c r="L63" s="24"/>
      <c r="M63" s="24"/>
      <c r="N63" s="24"/>
    </row>
    <row r="64" spans="4:14" ht="15" customHeight="1" x14ac:dyDescent="0.25">
      <c r="E64" s="3"/>
      <c r="J64" s="24"/>
      <c r="K64" s="24"/>
      <c r="L64" s="24"/>
      <c r="M64" s="24"/>
      <c r="N64" s="24"/>
    </row>
    <row r="65" spans="10:14" ht="15" customHeight="1" x14ac:dyDescent="0.25">
      <c r="J65" s="24"/>
      <c r="K65" s="24"/>
      <c r="L65" s="24"/>
      <c r="M65" s="24"/>
      <c r="N65" s="24"/>
    </row>
    <row r="66" spans="10:14" ht="15" customHeight="1" x14ac:dyDescent="0.25"/>
    <row r="67" spans="10:14" ht="15" customHeight="1" x14ac:dyDescent="0.25"/>
    <row r="68" spans="10:14" ht="15" customHeight="1" x14ac:dyDescent="0.25"/>
  </sheetData>
  <sheetProtection algorithmName="SHA-512" hashValue="eoEKy0jwDQQAAXf+VUfjYhWUAhg2L3dDcbeVBRscXJWSY5Azqw7u0oFC1TGLG7bH0iX4jjySsznorsJBDtEQAw==" saltValue="igXg4At8G7E3WbUB7wPu2Q==" spinCount="100000" sheet="1" objects="1" scenarios="1"/>
  <protectedRanges>
    <protectedRange sqref="D53:H56" name="Oblast3"/>
    <protectedRange sqref="G19:I20" name="Oblast2"/>
  </protectedRanges>
  <mergeCells count="74">
    <mergeCell ref="F56:H56"/>
    <mergeCell ref="F53:H53"/>
    <mergeCell ref="F52:H52"/>
    <mergeCell ref="I37:I38"/>
    <mergeCell ref="F34:F35"/>
    <mergeCell ref="I34:I35"/>
    <mergeCell ref="F54:H54"/>
    <mergeCell ref="F55:H55"/>
    <mergeCell ref="I46:I47"/>
    <mergeCell ref="I43:I44"/>
    <mergeCell ref="B5:J5"/>
    <mergeCell ref="I40:I41"/>
    <mergeCell ref="I25:I26"/>
    <mergeCell ref="G25:H26"/>
    <mergeCell ref="F28:F29"/>
    <mergeCell ref="I19:I20"/>
    <mergeCell ref="G19:H20"/>
    <mergeCell ref="D19:D20"/>
    <mergeCell ref="C19:C20"/>
    <mergeCell ref="E19:E20"/>
    <mergeCell ref="C25:C26"/>
    <mergeCell ref="C34:C35"/>
    <mergeCell ref="C22:C23"/>
    <mergeCell ref="I22:I23"/>
    <mergeCell ref="C28:C29"/>
    <mergeCell ref="D22:D23"/>
    <mergeCell ref="C37:C38"/>
    <mergeCell ref="C31:C32"/>
    <mergeCell ref="G22:H23"/>
    <mergeCell ref="I28:I29"/>
    <mergeCell ref="E22:E23"/>
    <mergeCell ref="F22:F23"/>
    <mergeCell ref="E25:E26"/>
    <mergeCell ref="C46:C47"/>
    <mergeCell ref="C43:C44"/>
    <mergeCell ref="D34:D35"/>
    <mergeCell ref="F46:F47"/>
    <mergeCell ref="G46:H47"/>
    <mergeCell ref="E40:E41"/>
    <mergeCell ref="G43:H44"/>
    <mergeCell ref="F43:F44"/>
    <mergeCell ref="E43:E44"/>
    <mergeCell ref="G40:H41"/>
    <mergeCell ref="F40:F41"/>
    <mergeCell ref="D46:D47"/>
    <mergeCell ref="D43:D44"/>
    <mergeCell ref="D37:D38"/>
    <mergeCell ref="D40:D41"/>
    <mergeCell ref="C40:C41"/>
    <mergeCell ref="D8:D15"/>
    <mergeCell ref="E8:E9"/>
    <mergeCell ref="E11:E12"/>
    <mergeCell ref="E14:E15"/>
    <mergeCell ref="E46:E47"/>
    <mergeCell ref="E31:E32"/>
    <mergeCell ref="D31:D32"/>
    <mergeCell ref="D25:D26"/>
    <mergeCell ref="D28:D29"/>
    <mergeCell ref="E28:E29"/>
    <mergeCell ref="F8:I9"/>
    <mergeCell ref="F11:I12"/>
    <mergeCell ref="F14:I15"/>
    <mergeCell ref="E37:E38"/>
    <mergeCell ref="E34:E35"/>
    <mergeCell ref="G18:H18"/>
    <mergeCell ref="G34:H35"/>
    <mergeCell ref="G37:H38"/>
    <mergeCell ref="F19:F20"/>
    <mergeCell ref="G28:H29"/>
    <mergeCell ref="F25:F26"/>
    <mergeCell ref="F31:F32"/>
    <mergeCell ref="F37:F38"/>
    <mergeCell ref="G31:H32"/>
    <mergeCell ref="I31:I32"/>
  </mergeCells>
  <phoneticPr fontId="6" type="noConversion"/>
  <pageMargins left="0.19685039370078741" right="0.19685039370078741" top="0.39370078740157483" bottom="0.39370078740157483" header="0" footer="0"/>
  <pageSetup paperSize="9" scale="60" orientation="portrait" r:id="rId1"/>
  <headerFooter>
    <oddFooter>&amp;CVytvořeno pomocí SchrackNorm_PVA. Více informací na schracknorm@schrack.cz</oddFooter>
  </headerFooter>
  <ignoredErrors>
    <ignoredError sqref="G20:I47 H19" unlocked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ist5">
    <tabColor theme="3"/>
  </sheetPr>
  <dimension ref="B1:P66"/>
  <sheetViews>
    <sheetView showGridLines="0" view="pageBreakPreview" topLeftCell="A10" zoomScale="85" zoomScaleNormal="100" zoomScaleSheetLayoutView="85" workbookViewId="0">
      <selection activeCell="B3" sqref="B3:R8"/>
    </sheetView>
  </sheetViews>
  <sheetFormatPr defaultColWidth="9.140625" defaultRowHeight="15.75" x14ac:dyDescent="0.25"/>
  <cols>
    <col min="1" max="1" width="1.85546875" style="24" customWidth="1"/>
    <col min="2" max="2" width="13.42578125" style="24" customWidth="1"/>
    <col min="3" max="3" width="4.5703125" style="24" customWidth="1"/>
    <col min="4" max="4" width="16.7109375" style="24" customWidth="1"/>
    <col min="5" max="5" width="11.85546875" style="24" customWidth="1"/>
    <col min="6" max="6" width="2.7109375" style="24" customWidth="1"/>
    <col min="7" max="7" width="10.5703125" style="24" customWidth="1"/>
    <col min="8" max="8" width="9.140625" style="24"/>
    <col min="9" max="9" width="10.140625" style="24" bestFit="1" customWidth="1"/>
    <col min="10" max="10" width="6" style="24" customWidth="1"/>
    <col min="11" max="11" width="9.140625" style="24"/>
    <col min="12" max="12" width="14.7109375" style="24" customWidth="1"/>
    <col min="13" max="13" width="11.5703125" style="24" customWidth="1"/>
    <col min="14" max="16384" width="9.140625" style="24"/>
  </cols>
  <sheetData>
    <row r="1" spans="2:16" customFormat="1" ht="13.9" customHeight="1" x14ac:dyDescent="0.25">
      <c r="B1" s="455" t="s">
        <v>110</v>
      </c>
      <c r="C1" s="455"/>
      <c r="D1" s="455"/>
    </row>
    <row r="2" spans="2:16" ht="15" customHeight="1" x14ac:dyDescent="0.3">
      <c r="M2" s="97" t="str">
        <f>'1. Charakteristiky rozhraní'!J2</f>
        <v>verze 1.08</v>
      </c>
    </row>
    <row r="3" spans="2:16" ht="15" customHeight="1" x14ac:dyDescent="0.25">
      <c r="B3" s="465" t="s">
        <v>72</v>
      </c>
      <c r="C3" s="465"/>
      <c r="D3" s="465"/>
      <c r="E3" s="465"/>
      <c r="F3" s="465"/>
      <c r="G3" s="465"/>
      <c r="H3" s="465"/>
      <c r="I3" s="465"/>
      <c r="J3" s="465"/>
      <c r="K3" s="465"/>
      <c r="L3" s="465"/>
      <c r="M3" s="465"/>
    </row>
    <row r="4" spans="2:16" ht="15" customHeight="1" x14ac:dyDescent="0.25"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</row>
    <row r="5" spans="2:16" ht="15" customHeight="1" x14ac:dyDescent="0.25"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</row>
    <row r="6" spans="2:16" ht="15" customHeight="1" x14ac:dyDescent="0.25">
      <c r="B6" s="465"/>
      <c r="C6" s="465"/>
      <c r="D6" s="465"/>
      <c r="E6" s="465"/>
      <c r="F6" s="465"/>
      <c r="G6" s="465"/>
      <c r="H6" s="465"/>
      <c r="I6" s="465"/>
      <c r="J6" s="465"/>
      <c r="K6" s="465"/>
      <c r="L6" s="465"/>
      <c r="M6" s="465"/>
    </row>
    <row r="7" spans="2:16" ht="15" customHeight="1" x14ac:dyDescent="0.25">
      <c r="B7" s="465"/>
      <c r="C7" s="465"/>
      <c r="D7" s="465"/>
      <c r="E7" s="465"/>
      <c r="F7" s="465"/>
      <c r="G7" s="465"/>
      <c r="H7" s="465"/>
      <c r="I7" s="465"/>
      <c r="J7" s="465"/>
      <c r="K7" s="465"/>
      <c r="L7" s="465"/>
      <c r="M7" s="465"/>
    </row>
    <row r="8" spans="2:16" ht="15" customHeight="1" x14ac:dyDescent="0.25">
      <c r="B8" s="465"/>
      <c r="C8" s="465"/>
      <c r="D8" s="465"/>
      <c r="E8" s="465"/>
      <c r="F8" s="465"/>
      <c r="G8" s="465"/>
      <c r="H8" s="465"/>
      <c r="I8" s="465"/>
      <c r="J8" s="465"/>
      <c r="K8" s="465"/>
      <c r="L8" s="465"/>
      <c r="M8" s="465"/>
    </row>
    <row r="9" spans="2:16" ht="15" customHeight="1" x14ac:dyDescent="0.25"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</row>
    <row r="10" spans="2:16" ht="15" customHeight="1" x14ac:dyDescent="0.25">
      <c r="C10" s="375" t="str">
        <f>IF(Zadání!F8="","",Zadání!F8)</f>
        <v/>
      </c>
      <c r="D10" s="376"/>
      <c r="E10" s="377"/>
      <c r="H10" s="53" t="s">
        <v>146</v>
      </c>
      <c r="I10" s="434">
        <f>Vyrobce</f>
        <v>0</v>
      </c>
      <c r="J10" s="434"/>
      <c r="K10" s="434"/>
      <c r="L10" s="434"/>
      <c r="M10" s="65"/>
      <c r="N10" s="65"/>
      <c r="O10" s="65"/>
      <c r="P10" s="65"/>
    </row>
    <row r="11" spans="2:16" ht="15" customHeight="1" x14ac:dyDescent="0.25">
      <c r="C11" s="475"/>
      <c r="D11" s="476"/>
      <c r="E11" s="477"/>
      <c r="G11" s="25"/>
      <c r="H11" s="26"/>
      <c r="I11" s="434">
        <f>'1. Charakteristiky rozhraní'!F14</f>
        <v>0</v>
      </c>
      <c r="J11" s="434"/>
      <c r="K11" s="434"/>
      <c r="L11" s="434"/>
      <c r="M11" s="65"/>
      <c r="N11" s="65"/>
      <c r="O11" s="65"/>
      <c r="P11" s="65"/>
    </row>
    <row r="12" spans="2:16" ht="15" customHeight="1" x14ac:dyDescent="0.25">
      <c r="C12" s="475"/>
      <c r="D12" s="476"/>
      <c r="E12" s="477"/>
      <c r="G12" s="25"/>
      <c r="H12" s="26"/>
      <c r="I12" s="434">
        <f>'1. Charakteristiky rozhraní'!F15</f>
        <v>0</v>
      </c>
      <c r="J12" s="434"/>
      <c r="K12" s="434"/>
      <c r="L12" s="434"/>
      <c r="M12" s="65"/>
      <c r="N12" s="65"/>
      <c r="O12" s="65"/>
      <c r="P12" s="65"/>
    </row>
    <row r="13" spans="2:16" ht="15" customHeight="1" x14ac:dyDescent="0.25">
      <c r="C13" s="475"/>
      <c r="D13" s="476"/>
      <c r="E13" s="477"/>
      <c r="G13" s="25"/>
      <c r="H13" s="26"/>
      <c r="I13" s="434" t="str">
        <f>"IČ: " &amp; '1. Charakteristiky rozhraní'!F13</f>
        <v>IČ: 0</v>
      </c>
      <c r="J13" s="434"/>
      <c r="K13" s="434"/>
      <c r="L13" s="434"/>
      <c r="M13" s="109"/>
      <c r="N13" s="109"/>
      <c r="O13" s="109"/>
      <c r="P13" s="109"/>
    </row>
    <row r="14" spans="2:16" ht="15" customHeight="1" x14ac:dyDescent="0.25">
      <c r="C14" s="378"/>
      <c r="D14" s="379"/>
      <c r="E14" s="380"/>
      <c r="G14" s="25"/>
    </row>
    <row r="15" spans="2:16" ht="15" customHeight="1" x14ac:dyDescent="0.25">
      <c r="G15" s="25"/>
    </row>
    <row r="16" spans="2:16" s="26" customFormat="1" ht="15" customHeight="1" x14ac:dyDescent="0.25"/>
    <row r="17" spans="3:12" s="26" customFormat="1" ht="15" customHeight="1" x14ac:dyDescent="0.25"/>
    <row r="18" spans="3:12" s="26" customFormat="1" ht="15" customHeight="1" x14ac:dyDescent="0.25"/>
    <row r="19" spans="3:12" ht="15" customHeight="1" thickBot="1" x14ac:dyDescent="0.3">
      <c r="C19" s="27"/>
      <c r="D19" s="27"/>
      <c r="E19" s="27"/>
      <c r="F19" s="27"/>
      <c r="G19" s="28"/>
      <c r="H19" s="28"/>
      <c r="I19" s="28"/>
      <c r="J19" s="28"/>
      <c r="K19" s="29"/>
      <c r="L19" s="29"/>
    </row>
    <row r="20" spans="3:12" ht="15" customHeight="1" x14ac:dyDescent="0.25">
      <c r="G20" s="30"/>
      <c r="H20" s="30"/>
      <c r="I20" s="30"/>
      <c r="J20" s="30"/>
      <c r="K20" s="31"/>
      <c r="L20" s="31"/>
    </row>
    <row r="21" spans="3:12" ht="15" customHeight="1" x14ac:dyDescent="0.25">
      <c r="C21" s="464" t="s">
        <v>111</v>
      </c>
      <c r="D21" s="464"/>
      <c r="E21" s="464"/>
      <c r="F21" s="464"/>
      <c r="G21" s="464"/>
      <c r="H21" s="464"/>
      <c r="I21" s="464"/>
      <c r="J21" s="464"/>
      <c r="K21" s="464"/>
      <c r="L21" s="464"/>
    </row>
    <row r="22" spans="3:12" ht="15" customHeight="1" x14ac:dyDescent="0.25">
      <c r="C22" s="464"/>
      <c r="D22" s="464"/>
      <c r="E22" s="464"/>
      <c r="F22" s="464"/>
      <c r="G22" s="464"/>
      <c r="H22" s="464"/>
      <c r="I22" s="464"/>
      <c r="J22" s="464"/>
      <c r="K22" s="464"/>
      <c r="L22" s="464"/>
    </row>
    <row r="23" spans="3:12" ht="15" customHeight="1" x14ac:dyDescent="0.25">
      <c r="C23" s="464"/>
      <c r="D23" s="464"/>
      <c r="E23" s="464"/>
      <c r="F23" s="464"/>
      <c r="G23" s="464"/>
      <c r="H23" s="464"/>
      <c r="I23" s="464"/>
      <c r="J23" s="464"/>
      <c r="K23" s="464"/>
      <c r="L23" s="464"/>
    </row>
    <row r="24" spans="3:12" ht="15" customHeight="1" thickBot="1" x14ac:dyDescent="0.3"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3:12" ht="15" customHeight="1" x14ac:dyDescent="0.25"/>
    <row r="26" spans="3:12" ht="15" customHeight="1" x14ac:dyDescent="0.25">
      <c r="C26" s="24" t="s">
        <v>37</v>
      </c>
      <c r="E26" s="458" t="s">
        <v>263</v>
      </c>
      <c r="F26" s="459"/>
      <c r="G26" s="459"/>
      <c r="H26" s="459"/>
      <c r="I26" s="459"/>
      <c r="J26" s="459"/>
      <c r="K26" s="459"/>
      <c r="L26" s="460"/>
    </row>
    <row r="27" spans="3:12" ht="15" customHeight="1" x14ac:dyDescent="0.25">
      <c r="E27" s="65"/>
      <c r="F27" s="13"/>
      <c r="G27" s="13"/>
      <c r="H27" s="13"/>
      <c r="I27" s="13"/>
      <c r="J27" s="13"/>
      <c r="K27" s="13"/>
      <c r="L27" s="13"/>
    </row>
    <row r="28" spans="3:12" ht="15" customHeight="1" x14ac:dyDescent="0.25">
      <c r="C28" s="24" t="s">
        <v>38</v>
      </c>
      <c r="E28" s="466">
        <f>'1. Charakteristiky rozhraní'!F21</f>
        <v>0</v>
      </c>
      <c r="F28" s="467"/>
      <c r="G28" s="467"/>
      <c r="H28" s="467"/>
      <c r="I28" s="467"/>
      <c r="J28" s="467"/>
      <c r="K28" s="467"/>
      <c r="L28" s="468"/>
    </row>
    <row r="29" spans="3:12" ht="15" customHeight="1" x14ac:dyDescent="0.25">
      <c r="E29" s="66"/>
      <c r="F29" s="66"/>
      <c r="G29" s="66"/>
      <c r="H29" s="66"/>
      <c r="I29" s="66"/>
      <c r="J29" s="66"/>
      <c r="K29" s="66"/>
      <c r="L29" s="66"/>
    </row>
    <row r="30" spans="3:12" ht="15" customHeight="1" x14ac:dyDescent="0.25">
      <c r="C30" s="24" t="s">
        <v>36</v>
      </c>
      <c r="E30" s="472" t="str">
        <f>"Rozváděč pro napojení v síti 2/M DC "&amp;'1. Charakteristiky rozhraní'!F26&amp;" V / IT; "&amp;'1. Charakteristiky rozhraní'!F30&amp;"A"</f>
        <v>Rozváděč pro napojení v síti 2/M DC 1000 V / IT; 1 x 16A</v>
      </c>
      <c r="F30" s="473"/>
      <c r="G30" s="473"/>
      <c r="H30" s="473"/>
      <c r="I30" s="473"/>
      <c r="J30" s="473"/>
      <c r="K30" s="473"/>
      <c r="L30" s="474"/>
    </row>
    <row r="31" spans="3:12" ht="15" customHeight="1" x14ac:dyDescent="0.25">
      <c r="E31" s="67"/>
      <c r="F31" s="68"/>
      <c r="G31" s="68"/>
      <c r="H31" s="68"/>
      <c r="I31" s="68"/>
      <c r="J31" s="68"/>
      <c r="K31" s="68"/>
      <c r="L31" s="68"/>
    </row>
    <row r="32" spans="3:12" ht="15" customHeight="1" x14ac:dyDescent="0.25">
      <c r="C32" s="24" t="s">
        <v>34</v>
      </c>
      <c r="E32" s="469">
        <f>VyrCislo</f>
        <v>0</v>
      </c>
      <c r="F32" s="470"/>
      <c r="G32" s="470"/>
      <c r="H32" s="470"/>
      <c r="I32" s="470"/>
      <c r="J32" s="470"/>
      <c r="K32" s="470"/>
      <c r="L32" s="471"/>
    </row>
    <row r="33" spans="3:12" ht="15" customHeight="1" x14ac:dyDescent="0.25">
      <c r="E33" s="65"/>
      <c r="F33" s="65"/>
      <c r="G33" s="65"/>
      <c r="H33" s="65"/>
      <c r="I33" s="65"/>
      <c r="J33" s="65"/>
      <c r="K33" s="65"/>
      <c r="L33" s="65"/>
    </row>
    <row r="34" spans="3:12" ht="15" customHeight="1" x14ac:dyDescent="0.25">
      <c r="C34" s="24" t="s">
        <v>39</v>
      </c>
      <c r="E34" s="461" t="str">
        <f>"IP "&amp;'1. Charakteristiky rozhraní'!F39&amp;"; "&amp;'1. Charakteristiky rozhraní'!F40</f>
        <v>IP 65/20; IK 08</v>
      </c>
      <c r="F34" s="462"/>
      <c r="G34" s="462"/>
      <c r="H34" s="462"/>
      <c r="I34" s="462"/>
      <c r="J34" s="462"/>
      <c r="K34" s="462"/>
      <c r="L34" s="463"/>
    </row>
    <row r="35" spans="3:12" ht="15" customHeight="1" x14ac:dyDescent="0.25">
      <c r="E35" s="85"/>
      <c r="F35" s="86"/>
      <c r="G35" s="86"/>
      <c r="H35" s="86"/>
      <c r="I35" s="86"/>
      <c r="J35" s="86"/>
      <c r="K35" s="86"/>
      <c r="L35" s="86"/>
    </row>
    <row r="36" spans="3:12" ht="15" customHeight="1" x14ac:dyDescent="0.25">
      <c r="C36" s="24" t="s">
        <v>112</v>
      </c>
      <c r="E36" s="438" t="s">
        <v>113</v>
      </c>
      <c r="F36" s="439"/>
      <c r="G36" s="439"/>
      <c r="H36" s="439"/>
      <c r="I36" s="439"/>
      <c r="J36" s="439"/>
      <c r="K36" s="439"/>
      <c r="L36" s="440"/>
    </row>
    <row r="37" spans="3:12" ht="15" customHeight="1" x14ac:dyDescent="0.25">
      <c r="F37"/>
      <c r="G37"/>
      <c r="H37"/>
      <c r="I37"/>
      <c r="J37"/>
      <c r="K37"/>
      <c r="L37"/>
    </row>
    <row r="38" spans="3:12" ht="15" customHeight="1" x14ac:dyDescent="0.25">
      <c r="C38" s="464" t="s">
        <v>40</v>
      </c>
      <c r="D38" s="464"/>
      <c r="E38" s="446" t="s">
        <v>145</v>
      </c>
      <c r="F38" s="447"/>
      <c r="G38" s="447"/>
      <c r="H38" s="447"/>
      <c r="I38" s="447"/>
      <c r="J38" s="447"/>
      <c r="K38" s="447"/>
      <c r="L38" s="448"/>
    </row>
    <row r="39" spans="3:12" ht="15" customHeight="1" x14ac:dyDescent="0.25">
      <c r="C39" s="464"/>
      <c r="D39" s="464"/>
      <c r="E39" s="449"/>
      <c r="F39" s="450"/>
      <c r="G39" s="450"/>
      <c r="H39" s="450"/>
      <c r="I39" s="450"/>
      <c r="J39" s="450"/>
      <c r="K39" s="450"/>
      <c r="L39" s="451"/>
    </row>
    <row r="40" spans="3:12" ht="15" customHeight="1" x14ac:dyDescent="0.25">
      <c r="C40" s="464"/>
      <c r="D40" s="464"/>
      <c r="E40" s="452"/>
      <c r="F40" s="453"/>
      <c r="G40" s="453"/>
      <c r="H40" s="453"/>
      <c r="I40" s="453"/>
      <c r="J40" s="453"/>
      <c r="K40" s="453"/>
      <c r="L40" s="454"/>
    </row>
    <row r="41" spans="3:12" ht="15" customHeight="1" x14ac:dyDescent="0.25">
      <c r="C41" s="31"/>
      <c r="D41" s="31"/>
      <c r="E41" s="69"/>
      <c r="F41" s="69"/>
      <c r="G41" s="69"/>
      <c r="H41" s="69"/>
      <c r="I41" s="69"/>
      <c r="J41" s="69"/>
      <c r="K41" s="69"/>
      <c r="L41" s="69"/>
    </row>
    <row r="42" spans="3:12" ht="15" customHeight="1" x14ac:dyDescent="0.25">
      <c r="C42" s="33" t="s">
        <v>115</v>
      </c>
      <c r="D42" s="33"/>
      <c r="E42" s="442" t="s">
        <v>262</v>
      </c>
      <c r="F42" s="443"/>
      <c r="G42" s="443"/>
      <c r="H42" s="443"/>
      <c r="I42" s="443"/>
      <c r="J42" s="443"/>
      <c r="K42" s="443"/>
      <c r="L42" s="444"/>
    </row>
    <row r="43" spans="3:12" ht="15" customHeight="1" x14ac:dyDescent="0.25">
      <c r="C43" s="33" t="s">
        <v>116</v>
      </c>
      <c r="D43" s="33"/>
      <c r="E43" s="442" t="s">
        <v>328</v>
      </c>
      <c r="F43" s="443"/>
      <c r="G43" s="443"/>
      <c r="H43" s="443"/>
      <c r="I43" s="443"/>
      <c r="J43" s="443"/>
      <c r="K43" s="443"/>
      <c r="L43" s="444"/>
    </row>
    <row r="44" spans="3:12" ht="15" customHeight="1" x14ac:dyDescent="0.25">
      <c r="E44" s="34"/>
      <c r="F44" s="34"/>
      <c r="G44" s="34"/>
      <c r="H44" s="34"/>
      <c r="I44" s="34"/>
      <c r="J44" s="34"/>
      <c r="K44" s="34"/>
      <c r="L44" s="34"/>
    </row>
    <row r="45" spans="3:12" ht="15" customHeight="1" x14ac:dyDescent="0.25">
      <c r="C45" s="441" t="s">
        <v>114</v>
      </c>
      <c r="D45" s="441"/>
      <c r="E45" s="441"/>
      <c r="F45" s="441"/>
      <c r="G45" s="441"/>
      <c r="H45" s="441"/>
      <c r="I45" s="441"/>
      <c r="J45" s="441"/>
      <c r="K45" s="441"/>
      <c r="L45" s="441"/>
    </row>
    <row r="46" spans="3:12" ht="15" customHeight="1" x14ac:dyDescent="0.25">
      <c r="C46" s="441"/>
      <c r="D46" s="441"/>
      <c r="E46" s="441"/>
      <c r="F46" s="441"/>
      <c r="G46" s="441"/>
      <c r="H46" s="441"/>
      <c r="I46" s="441"/>
      <c r="J46" s="441"/>
      <c r="K46" s="441"/>
      <c r="L46" s="441"/>
    </row>
    <row r="47" spans="3:12" ht="15" customHeight="1" x14ac:dyDescent="0.25">
      <c r="C47" s="60"/>
      <c r="D47" s="60"/>
      <c r="E47" s="60"/>
      <c r="F47" s="60"/>
      <c r="G47" s="60"/>
      <c r="H47" s="60"/>
      <c r="I47" s="60"/>
      <c r="J47" s="60"/>
      <c r="K47" s="60"/>
      <c r="L47" s="60"/>
    </row>
    <row r="48" spans="3:12" ht="15" customHeight="1" x14ac:dyDescent="0.25">
      <c r="C48" s="60"/>
      <c r="D48" s="60"/>
      <c r="E48" s="60"/>
      <c r="F48" s="60"/>
      <c r="G48" s="60"/>
      <c r="H48" s="60"/>
      <c r="I48" s="60"/>
      <c r="J48" s="60"/>
      <c r="K48" s="445"/>
      <c r="L48" s="445"/>
    </row>
    <row r="49" spans="3:12" ht="15" customHeight="1" x14ac:dyDescent="0.25"/>
    <row r="50" spans="3:12" ht="15" customHeight="1" x14ac:dyDescent="0.25"/>
    <row r="51" spans="3:12" ht="15" customHeight="1" x14ac:dyDescent="0.25">
      <c r="C51" s="26" t="s">
        <v>41</v>
      </c>
      <c r="D51" s="435">
        <f>'1. Charakteristiky rozhraní'!G64</f>
        <v>0</v>
      </c>
      <c r="E51" s="437"/>
      <c r="H51" s="61" t="s">
        <v>62</v>
      </c>
      <c r="I51" s="456">
        <f>Datum</f>
        <v>0</v>
      </c>
      <c r="J51" s="457"/>
      <c r="K51" s="63"/>
      <c r="L51" s="63"/>
    </row>
    <row r="52" spans="3:12" ht="15" customHeight="1" x14ac:dyDescent="0.25">
      <c r="I52" s="63"/>
      <c r="J52" s="63"/>
      <c r="K52" s="63"/>
      <c r="L52" s="63"/>
    </row>
    <row r="53" spans="3:12" ht="15" customHeight="1" x14ac:dyDescent="0.25">
      <c r="I53" s="63"/>
      <c r="J53" s="63"/>
      <c r="K53" s="63"/>
      <c r="L53" s="63"/>
    </row>
    <row r="54" spans="3:12" ht="15" customHeight="1" x14ac:dyDescent="0.25">
      <c r="H54" s="61" t="s">
        <v>42</v>
      </c>
      <c r="I54" s="435">
        <f>'1. Charakteristiky rozhraní'!F16</f>
        <v>0</v>
      </c>
      <c r="J54" s="436"/>
      <c r="K54" s="436"/>
      <c r="L54" s="437"/>
    </row>
    <row r="55" spans="3:12" ht="15" customHeight="1" x14ac:dyDescent="0.25">
      <c r="H55" s="61"/>
      <c r="I55" s="63"/>
      <c r="J55" s="63"/>
      <c r="K55" s="63"/>
      <c r="L55" s="63"/>
    </row>
    <row r="56" spans="3:12" ht="15" customHeight="1" x14ac:dyDescent="0.25">
      <c r="H56" s="61" t="s">
        <v>43</v>
      </c>
      <c r="I56" s="435">
        <f>Zadání!C16</f>
        <v>0</v>
      </c>
      <c r="J56" s="436"/>
      <c r="K56" s="436"/>
      <c r="L56" s="437"/>
    </row>
    <row r="57" spans="3:12" ht="15" customHeight="1" x14ac:dyDescent="0.25">
      <c r="H57" s="61"/>
      <c r="I57" s="62"/>
      <c r="J57" s="62"/>
      <c r="K57" s="62"/>
      <c r="L57" s="62"/>
    </row>
    <row r="58" spans="3:12" ht="15" customHeight="1" x14ac:dyDescent="0.25"/>
    <row r="59" spans="3:12" ht="15" customHeight="1" x14ac:dyDescent="0.25"/>
    <row r="60" spans="3:12" ht="15" customHeight="1" x14ac:dyDescent="0.25"/>
    <row r="61" spans="3:12" ht="15" customHeight="1" x14ac:dyDescent="0.25"/>
    <row r="62" spans="3:12" ht="15" customHeight="1" x14ac:dyDescent="0.25">
      <c r="G62" s="35"/>
    </row>
    <row r="63" spans="3:12" ht="15" customHeight="1" x14ac:dyDescent="0.25"/>
    <row r="64" spans="3:12" ht="15" customHeight="1" x14ac:dyDescent="0.25"/>
    <row r="65" ht="15" customHeight="1" x14ac:dyDescent="0.25"/>
    <row r="66" ht="15" customHeight="1" x14ac:dyDescent="0.25"/>
  </sheetData>
  <sheetProtection algorithmName="SHA-512" hashValue="t5YX9UliY99c+5Umxd1EZXu7RIx83pH+w0y68rZAMo/E9nKkPh0garriv01wKmY7YT/FAp56jPb810JWKp4puQ==" saltValue="v8tOFug7x5oaHb1Tw+JI9g==" spinCount="100000" sheet="1" objects="1" scenarios="1"/>
  <protectedRanges>
    <protectedRange sqref="C11" name="Oblast1"/>
    <protectedRange sqref="K48 D51 I54 I56:I57" name="Oblast2"/>
  </protectedRanges>
  <mergeCells count="24">
    <mergeCell ref="B1:D1"/>
    <mergeCell ref="D51:E51"/>
    <mergeCell ref="E42:L42"/>
    <mergeCell ref="I51:J51"/>
    <mergeCell ref="E26:L26"/>
    <mergeCell ref="E34:L34"/>
    <mergeCell ref="C38:D40"/>
    <mergeCell ref="B3:M8"/>
    <mergeCell ref="C21:L23"/>
    <mergeCell ref="E28:L28"/>
    <mergeCell ref="E32:L32"/>
    <mergeCell ref="E30:L30"/>
    <mergeCell ref="C10:E14"/>
    <mergeCell ref="I10:L10"/>
    <mergeCell ref="I11:L11"/>
    <mergeCell ref="I12:L12"/>
    <mergeCell ref="I13:L13"/>
    <mergeCell ref="I56:L56"/>
    <mergeCell ref="I54:L54"/>
    <mergeCell ref="E36:L36"/>
    <mergeCell ref="C45:L46"/>
    <mergeCell ref="E43:L43"/>
    <mergeCell ref="K48:L48"/>
    <mergeCell ref="E38:L40"/>
  </mergeCells>
  <phoneticPr fontId="6" type="noConversion"/>
  <pageMargins left="0.19685039370078741" right="0.19685039370078741" top="0.39370078740157483" bottom="0.39370078740157483" header="0" footer="0"/>
  <pageSetup paperSize="9" scale="83" orientation="portrait" r:id="rId1"/>
  <headerFooter>
    <oddFooter>&amp;CVytvořeno pomocí SchrackNorm_PVA. Více informací na schracknorm@schrack.cz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416DB-8E07-447C-A7F2-C58BBE1E9A52}">
  <sheetPr codeName="List7">
    <tabColor theme="3"/>
  </sheetPr>
  <dimension ref="B1:R26"/>
  <sheetViews>
    <sheetView showGridLines="0" showRuler="0" view="pageBreakPreview" zoomScale="70" zoomScaleNormal="70" zoomScaleSheetLayoutView="70" zoomScalePageLayoutView="55" workbookViewId="0">
      <selection activeCell="B3" sqref="B3:R10"/>
    </sheetView>
  </sheetViews>
  <sheetFormatPr defaultRowHeight="15" x14ac:dyDescent="0.25"/>
  <cols>
    <col min="1" max="1" width="1.5703125" customWidth="1"/>
    <col min="2" max="2" width="2.85546875" customWidth="1"/>
    <col min="3" max="3" width="19.140625" bestFit="1" customWidth="1"/>
    <col min="4" max="4" width="10.7109375" customWidth="1"/>
    <col min="5" max="5" width="5.5703125" customWidth="1"/>
    <col min="7" max="7" width="8.85546875" customWidth="1"/>
    <col min="8" max="8" width="6.7109375" customWidth="1"/>
    <col min="10" max="10" width="8.5703125" customWidth="1"/>
    <col min="11" max="11" width="5.140625" customWidth="1"/>
    <col min="12" max="12" width="8.28515625" customWidth="1"/>
    <col min="13" max="13" width="19.5703125" customWidth="1"/>
    <col min="14" max="14" width="6" customWidth="1"/>
    <col min="15" max="15" width="9.5703125" customWidth="1"/>
    <col min="16" max="16" width="6.42578125" customWidth="1"/>
    <col min="17" max="17" width="6.28515625" customWidth="1"/>
    <col min="18" max="18" width="2.85546875" customWidth="1"/>
    <col min="257" max="257" width="1.5703125" customWidth="1"/>
    <col min="258" max="258" width="2.85546875" customWidth="1"/>
    <col min="260" max="260" width="10.7109375" customWidth="1"/>
    <col min="261" max="261" width="5.5703125" customWidth="1"/>
    <col min="263" max="263" width="8.85546875" customWidth="1"/>
    <col min="264" max="264" width="6.7109375" customWidth="1"/>
    <col min="266" max="266" width="8.5703125" customWidth="1"/>
    <col min="267" max="267" width="5.140625" customWidth="1"/>
    <col min="268" max="268" width="8.28515625" customWidth="1"/>
    <col min="269" max="269" width="16.5703125" customWidth="1"/>
    <col min="270" max="270" width="8.42578125" customWidth="1"/>
    <col min="272" max="272" width="6.42578125" customWidth="1"/>
    <col min="273" max="273" width="6.28515625" customWidth="1"/>
    <col min="274" max="274" width="2.85546875" customWidth="1"/>
    <col min="513" max="513" width="1.5703125" customWidth="1"/>
    <col min="514" max="514" width="2.85546875" customWidth="1"/>
    <col min="516" max="516" width="10.7109375" customWidth="1"/>
    <col min="517" max="517" width="5.5703125" customWidth="1"/>
    <col min="519" max="519" width="8.85546875" customWidth="1"/>
    <col min="520" max="520" width="6.7109375" customWidth="1"/>
    <col min="522" max="522" width="8.5703125" customWidth="1"/>
    <col min="523" max="523" width="5.140625" customWidth="1"/>
    <col min="524" max="524" width="8.28515625" customWidth="1"/>
    <col min="525" max="525" width="16.5703125" customWidth="1"/>
    <col min="526" max="526" width="8.42578125" customWidth="1"/>
    <col min="528" max="528" width="6.42578125" customWidth="1"/>
    <col min="529" max="529" width="6.28515625" customWidth="1"/>
    <col min="530" max="530" width="2.85546875" customWidth="1"/>
    <col min="769" max="769" width="1.5703125" customWidth="1"/>
    <col min="770" max="770" width="2.85546875" customWidth="1"/>
    <col min="772" max="772" width="10.7109375" customWidth="1"/>
    <col min="773" max="773" width="5.5703125" customWidth="1"/>
    <col min="775" max="775" width="8.85546875" customWidth="1"/>
    <col min="776" max="776" width="6.7109375" customWidth="1"/>
    <col min="778" max="778" width="8.5703125" customWidth="1"/>
    <col min="779" max="779" width="5.140625" customWidth="1"/>
    <col min="780" max="780" width="8.28515625" customWidth="1"/>
    <col min="781" max="781" width="16.5703125" customWidth="1"/>
    <col min="782" max="782" width="8.42578125" customWidth="1"/>
    <col min="784" max="784" width="6.42578125" customWidth="1"/>
    <col min="785" max="785" width="6.28515625" customWidth="1"/>
    <col min="786" max="786" width="2.85546875" customWidth="1"/>
    <col min="1025" max="1025" width="1.5703125" customWidth="1"/>
    <col min="1026" max="1026" width="2.85546875" customWidth="1"/>
    <col min="1028" max="1028" width="10.7109375" customWidth="1"/>
    <col min="1029" max="1029" width="5.5703125" customWidth="1"/>
    <col min="1031" max="1031" width="8.85546875" customWidth="1"/>
    <col min="1032" max="1032" width="6.7109375" customWidth="1"/>
    <col min="1034" max="1034" width="8.5703125" customWidth="1"/>
    <col min="1035" max="1035" width="5.140625" customWidth="1"/>
    <col min="1036" max="1036" width="8.28515625" customWidth="1"/>
    <col min="1037" max="1037" width="16.5703125" customWidth="1"/>
    <col min="1038" max="1038" width="8.42578125" customWidth="1"/>
    <col min="1040" max="1040" width="6.42578125" customWidth="1"/>
    <col min="1041" max="1041" width="6.28515625" customWidth="1"/>
    <col min="1042" max="1042" width="2.85546875" customWidth="1"/>
    <col min="1281" max="1281" width="1.5703125" customWidth="1"/>
    <col min="1282" max="1282" width="2.85546875" customWidth="1"/>
    <col min="1284" max="1284" width="10.7109375" customWidth="1"/>
    <col min="1285" max="1285" width="5.5703125" customWidth="1"/>
    <col min="1287" max="1287" width="8.85546875" customWidth="1"/>
    <col min="1288" max="1288" width="6.7109375" customWidth="1"/>
    <col min="1290" max="1290" width="8.5703125" customWidth="1"/>
    <col min="1291" max="1291" width="5.140625" customWidth="1"/>
    <col min="1292" max="1292" width="8.28515625" customWidth="1"/>
    <col min="1293" max="1293" width="16.5703125" customWidth="1"/>
    <col min="1294" max="1294" width="8.42578125" customWidth="1"/>
    <col min="1296" max="1296" width="6.42578125" customWidth="1"/>
    <col min="1297" max="1297" width="6.28515625" customWidth="1"/>
    <col min="1298" max="1298" width="2.85546875" customWidth="1"/>
    <col min="1537" max="1537" width="1.5703125" customWidth="1"/>
    <col min="1538" max="1538" width="2.85546875" customWidth="1"/>
    <col min="1540" max="1540" width="10.7109375" customWidth="1"/>
    <col min="1541" max="1541" width="5.5703125" customWidth="1"/>
    <col min="1543" max="1543" width="8.85546875" customWidth="1"/>
    <col min="1544" max="1544" width="6.7109375" customWidth="1"/>
    <col min="1546" max="1546" width="8.5703125" customWidth="1"/>
    <col min="1547" max="1547" width="5.140625" customWidth="1"/>
    <col min="1548" max="1548" width="8.28515625" customWidth="1"/>
    <col min="1549" max="1549" width="16.5703125" customWidth="1"/>
    <col min="1550" max="1550" width="8.42578125" customWidth="1"/>
    <col min="1552" max="1552" width="6.42578125" customWidth="1"/>
    <col min="1553" max="1553" width="6.28515625" customWidth="1"/>
    <col min="1554" max="1554" width="2.85546875" customWidth="1"/>
    <col min="1793" max="1793" width="1.5703125" customWidth="1"/>
    <col min="1794" max="1794" width="2.85546875" customWidth="1"/>
    <col min="1796" max="1796" width="10.7109375" customWidth="1"/>
    <col min="1797" max="1797" width="5.5703125" customWidth="1"/>
    <col min="1799" max="1799" width="8.85546875" customWidth="1"/>
    <col min="1800" max="1800" width="6.7109375" customWidth="1"/>
    <col min="1802" max="1802" width="8.5703125" customWidth="1"/>
    <col min="1803" max="1803" width="5.140625" customWidth="1"/>
    <col min="1804" max="1804" width="8.28515625" customWidth="1"/>
    <col min="1805" max="1805" width="16.5703125" customWidth="1"/>
    <col min="1806" max="1806" width="8.42578125" customWidth="1"/>
    <col min="1808" max="1808" width="6.42578125" customWidth="1"/>
    <col min="1809" max="1809" width="6.28515625" customWidth="1"/>
    <col min="1810" max="1810" width="2.85546875" customWidth="1"/>
    <col min="2049" max="2049" width="1.5703125" customWidth="1"/>
    <col min="2050" max="2050" width="2.85546875" customWidth="1"/>
    <col min="2052" max="2052" width="10.7109375" customWidth="1"/>
    <col min="2053" max="2053" width="5.5703125" customWidth="1"/>
    <col min="2055" max="2055" width="8.85546875" customWidth="1"/>
    <col min="2056" max="2056" width="6.7109375" customWidth="1"/>
    <col min="2058" max="2058" width="8.5703125" customWidth="1"/>
    <col min="2059" max="2059" width="5.140625" customWidth="1"/>
    <col min="2060" max="2060" width="8.28515625" customWidth="1"/>
    <col min="2061" max="2061" width="16.5703125" customWidth="1"/>
    <col min="2062" max="2062" width="8.42578125" customWidth="1"/>
    <col min="2064" max="2064" width="6.42578125" customWidth="1"/>
    <col min="2065" max="2065" width="6.28515625" customWidth="1"/>
    <col min="2066" max="2066" width="2.85546875" customWidth="1"/>
    <col min="2305" max="2305" width="1.5703125" customWidth="1"/>
    <col min="2306" max="2306" width="2.85546875" customWidth="1"/>
    <col min="2308" max="2308" width="10.7109375" customWidth="1"/>
    <col min="2309" max="2309" width="5.5703125" customWidth="1"/>
    <col min="2311" max="2311" width="8.85546875" customWidth="1"/>
    <col min="2312" max="2312" width="6.7109375" customWidth="1"/>
    <col min="2314" max="2314" width="8.5703125" customWidth="1"/>
    <col min="2315" max="2315" width="5.140625" customWidth="1"/>
    <col min="2316" max="2316" width="8.28515625" customWidth="1"/>
    <col min="2317" max="2317" width="16.5703125" customWidth="1"/>
    <col min="2318" max="2318" width="8.42578125" customWidth="1"/>
    <col min="2320" max="2320" width="6.42578125" customWidth="1"/>
    <col min="2321" max="2321" width="6.28515625" customWidth="1"/>
    <col min="2322" max="2322" width="2.85546875" customWidth="1"/>
    <col min="2561" max="2561" width="1.5703125" customWidth="1"/>
    <col min="2562" max="2562" width="2.85546875" customWidth="1"/>
    <col min="2564" max="2564" width="10.7109375" customWidth="1"/>
    <col min="2565" max="2565" width="5.5703125" customWidth="1"/>
    <col min="2567" max="2567" width="8.85546875" customWidth="1"/>
    <col min="2568" max="2568" width="6.7109375" customWidth="1"/>
    <col min="2570" max="2570" width="8.5703125" customWidth="1"/>
    <col min="2571" max="2571" width="5.140625" customWidth="1"/>
    <col min="2572" max="2572" width="8.28515625" customWidth="1"/>
    <col min="2573" max="2573" width="16.5703125" customWidth="1"/>
    <col min="2574" max="2574" width="8.42578125" customWidth="1"/>
    <col min="2576" max="2576" width="6.42578125" customWidth="1"/>
    <col min="2577" max="2577" width="6.28515625" customWidth="1"/>
    <col min="2578" max="2578" width="2.85546875" customWidth="1"/>
    <col min="2817" max="2817" width="1.5703125" customWidth="1"/>
    <col min="2818" max="2818" width="2.85546875" customWidth="1"/>
    <col min="2820" max="2820" width="10.7109375" customWidth="1"/>
    <col min="2821" max="2821" width="5.5703125" customWidth="1"/>
    <col min="2823" max="2823" width="8.85546875" customWidth="1"/>
    <col min="2824" max="2824" width="6.7109375" customWidth="1"/>
    <col min="2826" max="2826" width="8.5703125" customWidth="1"/>
    <col min="2827" max="2827" width="5.140625" customWidth="1"/>
    <col min="2828" max="2828" width="8.28515625" customWidth="1"/>
    <col min="2829" max="2829" width="16.5703125" customWidth="1"/>
    <col min="2830" max="2830" width="8.42578125" customWidth="1"/>
    <col min="2832" max="2832" width="6.42578125" customWidth="1"/>
    <col min="2833" max="2833" width="6.28515625" customWidth="1"/>
    <col min="2834" max="2834" width="2.85546875" customWidth="1"/>
    <col min="3073" max="3073" width="1.5703125" customWidth="1"/>
    <col min="3074" max="3074" width="2.85546875" customWidth="1"/>
    <col min="3076" max="3076" width="10.7109375" customWidth="1"/>
    <col min="3077" max="3077" width="5.5703125" customWidth="1"/>
    <col min="3079" max="3079" width="8.85546875" customWidth="1"/>
    <col min="3080" max="3080" width="6.7109375" customWidth="1"/>
    <col min="3082" max="3082" width="8.5703125" customWidth="1"/>
    <col min="3083" max="3083" width="5.140625" customWidth="1"/>
    <col min="3084" max="3084" width="8.28515625" customWidth="1"/>
    <col min="3085" max="3085" width="16.5703125" customWidth="1"/>
    <col min="3086" max="3086" width="8.42578125" customWidth="1"/>
    <col min="3088" max="3088" width="6.42578125" customWidth="1"/>
    <col min="3089" max="3089" width="6.28515625" customWidth="1"/>
    <col min="3090" max="3090" width="2.85546875" customWidth="1"/>
    <col min="3329" max="3329" width="1.5703125" customWidth="1"/>
    <col min="3330" max="3330" width="2.85546875" customWidth="1"/>
    <col min="3332" max="3332" width="10.7109375" customWidth="1"/>
    <col min="3333" max="3333" width="5.5703125" customWidth="1"/>
    <col min="3335" max="3335" width="8.85546875" customWidth="1"/>
    <col min="3336" max="3336" width="6.7109375" customWidth="1"/>
    <col min="3338" max="3338" width="8.5703125" customWidth="1"/>
    <col min="3339" max="3339" width="5.140625" customWidth="1"/>
    <col min="3340" max="3340" width="8.28515625" customWidth="1"/>
    <col min="3341" max="3341" width="16.5703125" customWidth="1"/>
    <col min="3342" max="3342" width="8.42578125" customWidth="1"/>
    <col min="3344" max="3344" width="6.42578125" customWidth="1"/>
    <col min="3345" max="3345" width="6.28515625" customWidth="1"/>
    <col min="3346" max="3346" width="2.85546875" customWidth="1"/>
    <col min="3585" max="3585" width="1.5703125" customWidth="1"/>
    <col min="3586" max="3586" width="2.85546875" customWidth="1"/>
    <col min="3588" max="3588" width="10.7109375" customWidth="1"/>
    <col min="3589" max="3589" width="5.5703125" customWidth="1"/>
    <col min="3591" max="3591" width="8.85546875" customWidth="1"/>
    <col min="3592" max="3592" width="6.7109375" customWidth="1"/>
    <col min="3594" max="3594" width="8.5703125" customWidth="1"/>
    <col min="3595" max="3595" width="5.140625" customWidth="1"/>
    <col min="3596" max="3596" width="8.28515625" customWidth="1"/>
    <col min="3597" max="3597" width="16.5703125" customWidth="1"/>
    <col min="3598" max="3598" width="8.42578125" customWidth="1"/>
    <col min="3600" max="3600" width="6.42578125" customWidth="1"/>
    <col min="3601" max="3601" width="6.28515625" customWidth="1"/>
    <col min="3602" max="3602" width="2.85546875" customWidth="1"/>
    <col min="3841" max="3841" width="1.5703125" customWidth="1"/>
    <col min="3842" max="3842" width="2.85546875" customWidth="1"/>
    <col min="3844" max="3844" width="10.7109375" customWidth="1"/>
    <col min="3845" max="3845" width="5.5703125" customWidth="1"/>
    <col min="3847" max="3847" width="8.85546875" customWidth="1"/>
    <col min="3848" max="3848" width="6.7109375" customWidth="1"/>
    <col min="3850" max="3850" width="8.5703125" customWidth="1"/>
    <col min="3851" max="3851" width="5.140625" customWidth="1"/>
    <col min="3852" max="3852" width="8.28515625" customWidth="1"/>
    <col min="3853" max="3853" width="16.5703125" customWidth="1"/>
    <col min="3854" max="3854" width="8.42578125" customWidth="1"/>
    <col min="3856" max="3856" width="6.42578125" customWidth="1"/>
    <col min="3857" max="3857" width="6.28515625" customWidth="1"/>
    <col min="3858" max="3858" width="2.85546875" customWidth="1"/>
    <col min="4097" max="4097" width="1.5703125" customWidth="1"/>
    <col min="4098" max="4098" width="2.85546875" customWidth="1"/>
    <col min="4100" max="4100" width="10.7109375" customWidth="1"/>
    <col min="4101" max="4101" width="5.5703125" customWidth="1"/>
    <col min="4103" max="4103" width="8.85546875" customWidth="1"/>
    <col min="4104" max="4104" width="6.7109375" customWidth="1"/>
    <col min="4106" max="4106" width="8.5703125" customWidth="1"/>
    <col min="4107" max="4107" width="5.140625" customWidth="1"/>
    <col min="4108" max="4108" width="8.28515625" customWidth="1"/>
    <col min="4109" max="4109" width="16.5703125" customWidth="1"/>
    <col min="4110" max="4110" width="8.42578125" customWidth="1"/>
    <col min="4112" max="4112" width="6.42578125" customWidth="1"/>
    <col min="4113" max="4113" width="6.28515625" customWidth="1"/>
    <col min="4114" max="4114" width="2.85546875" customWidth="1"/>
    <col min="4353" max="4353" width="1.5703125" customWidth="1"/>
    <col min="4354" max="4354" width="2.85546875" customWidth="1"/>
    <col min="4356" max="4356" width="10.7109375" customWidth="1"/>
    <col min="4357" max="4357" width="5.5703125" customWidth="1"/>
    <col min="4359" max="4359" width="8.85546875" customWidth="1"/>
    <col min="4360" max="4360" width="6.7109375" customWidth="1"/>
    <col min="4362" max="4362" width="8.5703125" customWidth="1"/>
    <col min="4363" max="4363" width="5.140625" customWidth="1"/>
    <col min="4364" max="4364" width="8.28515625" customWidth="1"/>
    <col min="4365" max="4365" width="16.5703125" customWidth="1"/>
    <col min="4366" max="4366" width="8.42578125" customWidth="1"/>
    <col min="4368" max="4368" width="6.42578125" customWidth="1"/>
    <col min="4369" max="4369" width="6.28515625" customWidth="1"/>
    <col min="4370" max="4370" width="2.85546875" customWidth="1"/>
    <col min="4609" max="4609" width="1.5703125" customWidth="1"/>
    <col min="4610" max="4610" width="2.85546875" customWidth="1"/>
    <col min="4612" max="4612" width="10.7109375" customWidth="1"/>
    <col min="4613" max="4613" width="5.5703125" customWidth="1"/>
    <col min="4615" max="4615" width="8.85546875" customWidth="1"/>
    <col min="4616" max="4616" width="6.7109375" customWidth="1"/>
    <col min="4618" max="4618" width="8.5703125" customWidth="1"/>
    <col min="4619" max="4619" width="5.140625" customWidth="1"/>
    <col min="4620" max="4620" width="8.28515625" customWidth="1"/>
    <col min="4621" max="4621" width="16.5703125" customWidth="1"/>
    <col min="4622" max="4622" width="8.42578125" customWidth="1"/>
    <col min="4624" max="4624" width="6.42578125" customWidth="1"/>
    <col min="4625" max="4625" width="6.28515625" customWidth="1"/>
    <col min="4626" max="4626" width="2.85546875" customWidth="1"/>
    <col min="4865" max="4865" width="1.5703125" customWidth="1"/>
    <col min="4866" max="4866" width="2.85546875" customWidth="1"/>
    <col min="4868" max="4868" width="10.7109375" customWidth="1"/>
    <col min="4869" max="4869" width="5.5703125" customWidth="1"/>
    <col min="4871" max="4871" width="8.85546875" customWidth="1"/>
    <col min="4872" max="4872" width="6.7109375" customWidth="1"/>
    <col min="4874" max="4874" width="8.5703125" customWidth="1"/>
    <col min="4875" max="4875" width="5.140625" customWidth="1"/>
    <col min="4876" max="4876" width="8.28515625" customWidth="1"/>
    <col min="4877" max="4877" width="16.5703125" customWidth="1"/>
    <col min="4878" max="4878" width="8.42578125" customWidth="1"/>
    <col min="4880" max="4880" width="6.42578125" customWidth="1"/>
    <col min="4881" max="4881" width="6.28515625" customWidth="1"/>
    <col min="4882" max="4882" width="2.85546875" customWidth="1"/>
    <col min="5121" max="5121" width="1.5703125" customWidth="1"/>
    <col min="5122" max="5122" width="2.85546875" customWidth="1"/>
    <col min="5124" max="5124" width="10.7109375" customWidth="1"/>
    <col min="5125" max="5125" width="5.5703125" customWidth="1"/>
    <col min="5127" max="5127" width="8.85546875" customWidth="1"/>
    <col min="5128" max="5128" width="6.7109375" customWidth="1"/>
    <col min="5130" max="5130" width="8.5703125" customWidth="1"/>
    <col min="5131" max="5131" width="5.140625" customWidth="1"/>
    <col min="5132" max="5132" width="8.28515625" customWidth="1"/>
    <col min="5133" max="5133" width="16.5703125" customWidth="1"/>
    <col min="5134" max="5134" width="8.42578125" customWidth="1"/>
    <col min="5136" max="5136" width="6.42578125" customWidth="1"/>
    <col min="5137" max="5137" width="6.28515625" customWidth="1"/>
    <col min="5138" max="5138" width="2.85546875" customWidth="1"/>
    <col min="5377" max="5377" width="1.5703125" customWidth="1"/>
    <col min="5378" max="5378" width="2.85546875" customWidth="1"/>
    <col min="5380" max="5380" width="10.7109375" customWidth="1"/>
    <col min="5381" max="5381" width="5.5703125" customWidth="1"/>
    <col min="5383" max="5383" width="8.85546875" customWidth="1"/>
    <col min="5384" max="5384" width="6.7109375" customWidth="1"/>
    <col min="5386" max="5386" width="8.5703125" customWidth="1"/>
    <col min="5387" max="5387" width="5.140625" customWidth="1"/>
    <col min="5388" max="5388" width="8.28515625" customWidth="1"/>
    <col min="5389" max="5389" width="16.5703125" customWidth="1"/>
    <col min="5390" max="5390" width="8.42578125" customWidth="1"/>
    <col min="5392" max="5392" width="6.42578125" customWidth="1"/>
    <col min="5393" max="5393" width="6.28515625" customWidth="1"/>
    <col min="5394" max="5394" width="2.85546875" customWidth="1"/>
    <col min="5633" max="5633" width="1.5703125" customWidth="1"/>
    <col min="5634" max="5634" width="2.85546875" customWidth="1"/>
    <col min="5636" max="5636" width="10.7109375" customWidth="1"/>
    <col min="5637" max="5637" width="5.5703125" customWidth="1"/>
    <col min="5639" max="5639" width="8.85546875" customWidth="1"/>
    <col min="5640" max="5640" width="6.7109375" customWidth="1"/>
    <col min="5642" max="5642" width="8.5703125" customWidth="1"/>
    <col min="5643" max="5643" width="5.140625" customWidth="1"/>
    <col min="5644" max="5644" width="8.28515625" customWidth="1"/>
    <col min="5645" max="5645" width="16.5703125" customWidth="1"/>
    <col min="5646" max="5646" width="8.42578125" customWidth="1"/>
    <col min="5648" max="5648" width="6.42578125" customWidth="1"/>
    <col min="5649" max="5649" width="6.28515625" customWidth="1"/>
    <col min="5650" max="5650" width="2.85546875" customWidth="1"/>
    <col min="5889" max="5889" width="1.5703125" customWidth="1"/>
    <col min="5890" max="5890" width="2.85546875" customWidth="1"/>
    <col min="5892" max="5892" width="10.7109375" customWidth="1"/>
    <col min="5893" max="5893" width="5.5703125" customWidth="1"/>
    <col min="5895" max="5895" width="8.85546875" customWidth="1"/>
    <col min="5896" max="5896" width="6.7109375" customWidth="1"/>
    <col min="5898" max="5898" width="8.5703125" customWidth="1"/>
    <col min="5899" max="5899" width="5.140625" customWidth="1"/>
    <col min="5900" max="5900" width="8.28515625" customWidth="1"/>
    <col min="5901" max="5901" width="16.5703125" customWidth="1"/>
    <col min="5902" max="5902" width="8.42578125" customWidth="1"/>
    <col min="5904" max="5904" width="6.42578125" customWidth="1"/>
    <col min="5905" max="5905" width="6.28515625" customWidth="1"/>
    <col min="5906" max="5906" width="2.85546875" customWidth="1"/>
    <col min="6145" max="6145" width="1.5703125" customWidth="1"/>
    <col min="6146" max="6146" width="2.85546875" customWidth="1"/>
    <col min="6148" max="6148" width="10.7109375" customWidth="1"/>
    <col min="6149" max="6149" width="5.5703125" customWidth="1"/>
    <col min="6151" max="6151" width="8.85546875" customWidth="1"/>
    <col min="6152" max="6152" width="6.7109375" customWidth="1"/>
    <col min="6154" max="6154" width="8.5703125" customWidth="1"/>
    <col min="6155" max="6155" width="5.140625" customWidth="1"/>
    <col min="6156" max="6156" width="8.28515625" customWidth="1"/>
    <col min="6157" max="6157" width="16.5703125" customWidth="1"/>
    <col min="6158" max="6158" width="8.42578125" customWidth="1"/>
    <col min="6160" max="6160" width="6.42578125" customWidth="1"/>
    <col min="6161" max="6161" width="6.28515625" customWidth="1"/>
    <col min="6162" max="6162" width="2.85546875" customWidth="1"/>
    <col min="6401" max="6401" width="1.5703125" customWidth="1"/>
    <col min="6402" max="6402" width="2.85546875" customWidth="1"/>
    <col min="6404" max="6404" width="10.7109375" customWidth="1"/>
    <col min="6405" max="6405" width="5.5703125" customWidth="1"/>
    <col min="6407" max="6407" width="8.85546875" customWidth="1"/>
    <col min="6408" max="6408" width="6.7109375" customWidth="1"/>
    <col min="6410" max="6410" width="8.5703125" customWidth="1"/>
    <col min="6411" max="6411" width="5.140625" customWidth="1"/>
    <col min="6412" max="6412" width="8.28515625" customWidth="1"/>
    <col min="6413" max="6413" width="16.5703125" customWidth="1"/>
    <col min="6414" max="6414" width="8.42578125" customWidth="1"/>
    <col min="6416" max="6416" width="6.42578125" customWidth="1"/>
    <col min="6417" max="6417" width="6.28515625" customWidth="1"/>
    <col min="6418" max="6418" width="2.85546875" customWidth="1"/>
    <col min="6657" max="6657" width="1.5703125" customWidth="1"/>
    <col min="6658" max="6658" width="2.85546875" customWidth="1"/>
    <col min="6660" max="6660" width="10.7109375" customWidth="1"/>
    <col min="6661" max="6661" width="5.5703125" customWidth="1"/>
    <col min="6663" max="6663" width="8.85546875" customWidth="1"/>
    <col min="6664" max="6664" width="6.7109375" customWidth="1"/>
    <col min="6666" max="6666" width="8.5703125" customWidth="1"/>
    <col min="6667" max="6667" width="5.140625" customWidth="1"/>
    <col min="6668" max="6668" width="8.28515625" customWidth="1"/>
    <col min="6669" max="6669" width="16.5703125" customWidth="1"/>
    <col min="6670" max="6670" width="8.42578125" customWidth="1"/>
    <col min="6672" max="6672" width="6.42578125" customWidth="1"/>
    <col min="6673" max="6673" width="6.28515625" customWidth="1"/>
    <col min="6674" max="6674" width="2.85546875" customWidth="1"/>
    <col min="6913" max="6913" width="1.5703125" customWidth="1"/>
    <col min="6914" max="6914" width="2.85546875" customWidth="1"/>
    <col min="6916" max="6916" width="10.7109375" customWidth="1"/>
    <col min="6917" max="6917" width="5.5703125" customWidth="1"/>
    <col min="6919" max="6919" width="8.85546875" customWidth="1"/>
    <col min="6920" max="6920" width="6.7109375" customWidth="1"/>
    <col min="6922" max="6922" width="8.5703125" customWidth="1"/>
    <col min="6923" max="6923" width="5.140625" customWidth="1"/>
    <col min="6924" max="6924" width="8.28515625" customWidth="1"/>
    <col min="6925" max="6925" width="16.5703125" customWidth="1"/>
    <col min="6926" max="6926" width="8.42578125" customWidth="1"/>
    <col min="6928" max="6928" width="6.42578125" customWidth="1"/>
    <col min="6929" max="6929" width="6.28515625" customWidth="1"/>
    <col min="6930" max="6930" width="2.85546875" customWidth="1"/>
    <col min="7169" max="7169" width="1.5703125" customWidth="1"/>
    <col min="7170" max="7170" width="2.85546875" customWidth="1"/>
    <col min="7172" max="7172" width="10.7109375" customWidth="1"/>
    <col min="7173" max="7173" width="5.5703125" customWidth="1"/>
    <col min="7175" max="7175" width="8.85546875" customWidth="1"/>
    <col min="7176" max="7176" width="6.7109375" customWidth="1"/>
    <col min="7178" max="7178" width="8.5703125" customWidth="1"/>
    <col min="7179" max="7179" width="5.140625" customWidth="1"/>
    <col min="7180" max="7180" width="8.28515625" customWidth="1"/>
    <col min="7181" max="7181" width="16.5703125" customWidth="1"/>
    <col min="7182" max="7182" width="8.42578125" customWidth="1"/>
    <col min="7184" max="7184" width="6.42578125" customWidth="1"/>
    <col min="7185" max="7185" width="6.28515625" customWidth="1"/>
    <col min="7186" max="7186" width="2.85546875" customWidth="1"/>
    <col min="7425" max="7425" width="1.5703125" customWidth="1"/>
    <col min="7426" max="7426" width="2.85546875" customWidth="1"/>
    <col min="7428" max="7428" width="10.7109375" customWidth="1"/>
    <col min="7429" max="7429" width="5.5703125" customWidth="1"/>
    <col min="7431" max="7431" width="8.85546875" customWidth="1"/>
    <col min="7432" max="7432" width="6.7109375" customWidth="1"/>
    <col min="7434" max="7434" width="8.5703125" customWidth="1"/>
    <col min="7435" max="7435" width="5.140625" customWidth="1"/>
    <col min="7436" max="7436" width="8.28515625" customWidth="1"/>
    <col min="7437" max="7437" width="16.5703125" customWidth="1"/>
    <col min="7438" max="7438" width="8.42578125" customWidth="1"/>
    <col min="7440" max="7440" width="6.42578125" customWidth="1"/>
    <col min="7441" max="7441" width="6.28515625" customWidth="1"/>
    <col min="7442" max="7442" width="2.85546875" customWidth="1"/>
    <col min="7681" max="7681" width="1.5703125" customWidth="1"/>
    <col min="7682" max="7682" width="2.85546875" customWidth="1"/>
    <col min="7684" max="7684" width="10.7109375" customWidth="1"/>
    <col min="7685" max="7685" width="5.5703125" customWidth="1"/>
    <col min="7687" max="7687" width="8.85546875" customWidth="1"/>
    <col min="7688" max="7688" width="6.7109375" customWidth="1"/>
    <col min="7690" max="7690" width="8.5703125" customWidth="1"/>
    <col min="7691" max="7691" width="5.140625" customWidth="1"/>
    <col min="7692" max="7692" width="8.28515625" customWidth="1"/>
    <col min="7693" max="7693" width="16.5703125" customWidth="1"/>
    <col min="7694" max="7694" width="8.42578125" customWidth="1"/>
    <col min="7696" max="7696" width="6.42578125" customWidth="1"/>
    <col min="7697" max="7697" width="6.28515625" customWidth="1"/>
    <col min="7698" max="7698" width="2.85546875" customWidth="1"/>
    <col min="7937" max="7937" width="1.5703125" customWidth="1"/>
    <col min="7938" max="7938" width="2.85546875" customWidth="1"/>
    <col min="7940" max="7940" width="10.7109375" customWidth="1"/>
    <col min="7941" max="7941" width="5.5703125" customWidth="1"/>
    <col min="7943" max="7943" width="8.85546875" customWidth="1"/>
    <col min="7944" max="7944" width="6.7109375" customWidth="1"/>
    <col min="7946" max="7946" width="8.5703125" customWidth="1"/>
    <col min="7947" max="7947" width="5.140625" customWidth="1"/>
    <col min="7948" max="7948" width="8.28515625" customWidth="1"/>
    <col min="7949" max="7949" width="16.5703125" customWidth="1"/>
    <col min="7950" max="7950" width="8.42578125" customWidth="1"/>
    <col min="7952" max="7952" width="6.42578125" customWidth="1"/>
    <col min="7953" max="7953" width="6.28515625" customWidth="1"/>
    <col min="7954" max="7954" width="2.85546875" customWidth="1"/>
    <col min="8193" max="8193" width="1.5703125" customWidth="1"/>
    <col min="8194" max="8194" width="2.85546875" customWidth="1"/>
    <col min="8196" max="8196" width="10.7109375" customWidth="1"/>
    <col min="8197" max="8197" width="5.5703125" customWidth="1"/>
    <col min="8199" max="8199" width="8.85546875" customWidth="1"/>
    <col min="8200" max="8200" width="6.7109375" customWidth="1"/>
    <col min="8202" max="8202" width="8.5703125" customWidth="1"/>
    <col min="8203" max="8203" width="5.140625" customWidth="1"/>
    <col min="8204" max="8204" width="8.28515625" customWidth="1"/>
    <col min="8205" max="8205" width="16.5703125" customWidth="1"/>
    <col min="8206" max="8206" width="8.42578125" customWidth="1"/>
    <col min="8208" max="8208" width="6.42578125" customWidth="1"/>
    <col min="8209" max="8209" width="6.28515625" customWidth="1"/>
    <col min="8210" max="8210" width="2.85546875" customWidth="1"/>
    <col min="8449" max="8449" width="1.5703125" customWidth="1"/>
    <col min="8450" max="8450" width="2.85546875" customWidth="1"/>
    <col min="8452" max="8452" width="10.7109375" customWidth="1"/>
    <col min="8453" max="8453" width="5.5703125" customWidth="1"/>
    <col min="8455" max="8455" width="8.85546875" customWidth="1"/>
    <col min="8456" max="8456" width="6.7109375" customWidth="1"/>
    <col min="8458" max="8458" width="8.5703125" customWidth="1"/>
    <col min="8459" max="8459" width="5.140625" customWidth="1"/>
    <col min="8460" max="8460" width="8.28515625" customWidth="1"/>
    <col min="8461" max="8461" width="16.5703125" customWidth="1"/>
    <col min="8462" max="8462" width="8.42578125" customWidth="1"/>
    <col min="8464" max="8464" width="6.42578125" customWidth="1"/>
    <col min="8465" max="8465" width="6.28515625" customWidth="1"/>
    <col min="8466" max="8466" width="2.85546875" customWidth="1"/>
    <col min="8705" max="8705" width="1.5703125" customWidth="1"/>
    <col min="8706" max="8706" width="2.85546875" customWidth="1"/>
    <col min="8708" max="8708" width="10.7109375" customWidth="1"/>
    <col min="8709" max="8709" width="5.5703125" customWidth="1"/>
    <col min="8711" max="8711" width="8.85546875" customWidth="1"/>
    <col min="8712" max="8712" width="6.7109375" customWidth="1"/>
    <col min="8714" max="8714" width="8.5703125" customWidth="1"/>
    <col min="8715" max="8715" width="5.140625" customWidth="1"/>
    <col min="8716" max="8716" width="8.28515625" customWidth="1"/>
    <col min="8717" max="8717" width="16.5703125" customWidth="1"/>
    <col min="8718" max="8718" width="8.42578125" customWidth="1"/>
    <col min="8720" max="8720" width="6.42578125" customWidth="1"/>
    <col min="8721" max="8721" width="6.28515625" customWidth="1"/>
    <col min="8722" max="8722" width="2.85546875" customWidth="1"/>
    <col min="8961" max="8961" width="1.5703125" customWidth="1"/>
    <col min="8962" max="8962" width="2.85546875" customWidth="1"/>
    <col min="8964" max="8964" width="10.7109375" customWidth="1"/>
    <col min="8965" max="8965" width="5.5703125" customWidth="1"/>
    <col min="8967" max="8967" width="8.85546875" customWidth="1"/>
    <col min="8968" max="8968" width="6.7109375" customWidth="1"/>
    <col min="8970" max="8970" width="8.5703125" customWidth="1"/>
    <col min="8971" max="8971" width="5.140625" customWidth="1"/>
    <col min="8972" max="8972" width="8.28515625" customWidth="1"/>
    <col min="8973" max="8973" width="16.5703125" customWidth="1"/>
    <col min="8974" max="8974" width="8.42578125" customWidth="1"/>
    <col min="8976" max="8976" width="6.42578125" customWidth="1"/>
    <col min="8977" max="8977" width="6.28515625" customWidth="1"/>
    <col min="8978" max="8978" width="2.85546875" customWidth="1"/>
    <col min="9217" max="9217" width="1.5703125" customWidth="1"/>
    <col min="9218" max="9218" width="2.85546875" customWidth="1"/>
    <col min="9220" max="9220" width="10.7109375" customWidth="1"/>
    <col min="9221" max="9221" width="5.5703125" customWidth="1"/>
    <col min="9223" max="9223" width="8.85546875" customWidth="1"/>
    <col min="9224" max="9224" width="6.7109375" customWidth="1"/>
    <col min="9226" max="9226" width="8.5703125" customWidth="1"/>
    <col min="9227" max="9227" width="5.140625" customWidth="1"/>
    <col min="9228" max="9228" width="8.28515625" customWidth="1"/>
    <col min="9229" max="9229" width="16.5703125" customWidth="1"/>
    <col min="9230" max="9230" width="8.42578125" customWidth="1"/>
    <col min="9232" max="9232" width="6.42578125" customWidth="1"/>
    <col min="9233" max="9233" width="6.28515625" customWidth="1"/>
    <col min="9234" max="9234" width="2.85546875" customWidth="1"/>
    <col min="9473" max="9473" width="1.5703125" customWidth="1"/>
    <col min="9474" max="9474" width="2.85546875" customWidth="1"/>
    <col min="9476" max="9476" width="10.7109375" customWidth="1"/>
    <col min="9477" max="9477" width="5.5703125" customWidth="1"/>
    <col min="9479" max="9479" width="8.85546875" customWidth="1"/>
    <col min="9480" max="9480" width="6.7109375" customWidth="1"/>
    <col min="9482" max="9482" width="8.5703125" customWidth="1"/>
    <col min="9483" max="9483" width="5.140625" customWidth="1"/>
    <col min="9484" max="9484" width="8.28515625" customWidth="1"/>
    <col min="9485" max="9485" width="16.5703125" customWidth="1"/>
    <col min="9486" max="9486" width="8.42578125" customWidth="1"/>
    <col min="9488" max="9488" width="6.42578125" customWidth="1"/>
    <col min="9489" max="9489" width="6.28515625" customWidth="1"/>
    <col min="9490" max="9490" width="2.85546875" customWidth="1"/>
    <col min="9729" max="9729" width="1.5703125" customWidth="1"/>
    <col min="9730" max="9730" width="2.85546875" customWidth="1"/>
    <col min="9732" max="9732" width="10.7109375" customWidth="1"/>
    <col min="9733" max="9733" width="5.5703125" customWidth="1"/>
    <col min="9735" max="9735" width="8.85546875" customWidth="1"/>
    <col min="9736" max="9736" width="6.7109375" customWidth="1"/>
    <col min="9738" max="9738" width="8.5703125" customWidth="1"/>
    <col min="9739" max="9739" width="5.140625" customWidth="1"/>
    <col min="9740" max="9740" width="8.28515625" customWidth="1"/>
    <col min="9741" max="9741" width="16.5703125" customWidth="1"/>
    <col min="9742" max="9742" width="8.42578125" customWidth="1"/>
    <col min="9744" max="9744" width="6.42578125" customWidth="1"/>
    <col min="9745" max="9745" width="6.28515625" customWidth="1"/>
    <col min="9746" max="9746" width="2.85546875" customWidth="1"/>
    <col min="9985" max="9985" width="1.5703125" customWidth="1"/>
    <col min="9986" max="9986" width="2.85546875" customWidth="1"/>
    <col min="9988" max="9988" width="10.7109375" customWidth="1"/>
    <col min="9989" max="9989" width="5.5703125" customWidth="1"/>
    <col min="9991" max="9991" width="8.85546875" customWidth="1"/>
    <col min="9992" max="9992" width="6.7109375" customWidth="1"/>
    <col min="9994" max="9994" width="8.5703125" customWidth="1"/>
    <col min="9995" max="9995" width="5.140625" customWidth="1"/>
    <col min="9996" max="9996" width="8.28515625" customWidth="1"/>
    <col min="9997" max="9997" width="16.5703125" customWidth="1"/>
    <col min="9998" max="9998" width="8.42578125" customWidth="1"/>
    <col min="10000" max="10000" width="6.42578125" customWidth="1"/>
    <col min="10001" max="10001" width="6.28515625" customWidth="1"/>
    <col min="10002" max="10002" width="2.85546875" customWidth="1"/>
    <col min="10241" max="10241" width="1.5703125" customWidth="1"/>
    <col min="10242" max="10242" width="2.85546875" customWidth="1"/>
    <col min="10244" max="10244" width="10.7109375" customWidth="1"/>
    <col min="10245" max="10245" width="5.5703125" customWidth="1"/>
    <col min="10247" max="10247" width="8.85546875" customWidth="1"/>
    <col min="10248" max="10248" width="6.7109375" customWidth="1"/>
    <col min="10250" max="10250" width="8.5703125" customWidth="1"/>
    <col min="10251" max="10251" width="5.140625" customWidth="1"/>
    <col min="10252" max="10252" width="8.28515625" customWidth="1"/>
    <col min="10253" max="10253" width="16.5703125" customWidth="1"/>
    <col min="10254" max="10254" width="8.42578125" customWidth="1"/>
    <col min="10256" max="10256" width="6.42578125" customWidth="1"/>
    <col min="10257" max="10257" width="6.28515625" customWidth="1"/>
    <col min="10258" max="10258" width="2.85546875" customWidth="1"/>
    <col min="10497" max="10497" width="1.5703125" customWidth="1"/>
    <col min="10498" max="10498" width="2.85546875" customWidth="1"/>
    <col min="10500" max="10500" width="10.7109375" customWidth="1"/>
    <col min="10501" max="10501" width="5.5703125" customWidth="1"/>
    <col min="10503" max="10503" width="8.85546875" customWidth="1"/>
    <col min="10504" max="10504" width="6.7109375" customWidth="1"/>
    <col min="10506" max="10506" width="8.5703125" customWidth="1"/>
    <col min="10507" max="10507" width="5.140625" customWidth="1"/>
    <col min="10508" max="10508" width="8.28515625" customWidth="1"/>
    <col min="10509" max="10509" width="16.5703125" customWidth="1"/>
    <col min="10510" max="10510" width="8.42578125" customWidth="1"/>
    <col min="10512" max="10512" width="6.42578125" customWidth="1"/>
    <col min="10513" max="10513" width="6.28515625" customWidth="1"/>
    <col min="10514" max="10514" width="2.85546875" customWidth="1"/>
    <col min="10753" max="10753" width="1.5703125" customWidth="1"/>
    <col min="10754" max="10754" width="2.85546875" customWidth="1"/>
    <col min="10756" max="10756" width="10.7109375" customWidth="1"/>
    <col min="10757" max="10757" width="5.5703125" customWidth="1"/>
    <col min="10759" max="10759" width="8.85546875" customWidth="1"/>
    <col min="10760" max="10760" width="6.7109375" customWidth="1"/>
    <col min="10762" max="10762" width="8.5703125" customWidth="1"/>
    <col min="10763" max="10763" width="5.140625" customWidth="1"/>
    <col min="10764" max="10764" width="8.28515625" customWidth="1"/>
    <col min="10765" max="10765" width="16.5703125" customWidth="1"/>
    <col min="10766" max="10766" width="8.42578125" customWidth="1"/>
    <col min="10768" max="10768" width="6.42578125" customWidth="1"/>
    <col min="10769" max="10769" width="6.28515625" customWidth="1"/>
    <col min="10770" max="10770" width="2.85546875" customWidth="1"/>
    <col min="11009" max="11009" width="1.5703125" customWidth="1"/>
    <col min="11010" max="11010" width="2.85546875" customWidth="1"/>
    <col min="11012" max="11012" width="10.7109375" customWidth="1"/>
    <col min="11013" max="11013" width="5.5703125" customWidth="1"/>
    <col min="11015" max="11015" width="8.85546875" customWidth="1"/>
    <col min="11016" max="11016" width="6.7109375" customWidth="1"/>
    <col min="11018" max="11018" width="8.5703125" customWidth="1"/>
    <col min="11019" max="11019" width="5.140625" customWidth="1"/>
    <col min="11020" max="11020" width="8.28515625" customWidth="1"/>
    <col min="11021" max="11021" width="16.5703125" customWidth="1"/>
    <col min="11022" max="11022" width="8.42578125" customWidth="1"/>
    <col min="11024" max="11024" width="6.42578125" customWidth="1"/>
    <col min="11025" max="11025" width="6.28515625" customWidth="1"/>
    <col min="11026" max="11026" width="2.85546875" customWidth="1"/>
    <col min="11265" max="11265" width="1.5703125" customWidth="1"/>
    <col min="11266" max="11266" width="2.85546875" customWidth="1"/>
    <col min="11268" max="11268" width="10.7109375" customWidth="1"/>
    <col min="11269" max="11269" width="5.5703125" customWidth="1"/>
    <col min="11271" max="11271" width="8.85546875" customWidth="1"/>
    <col min="11272" max="11272" width="6.7109375" customWidth="1"/>
    <col min="11274" max="11274" width="8.5703125" customWidth="1"/>
    <col min="11275" max="11275" width="5.140625" customWidth="1"/>
    <col min="11276" max="11276" width="8.28515625" customWidth="1"/>
    <col min="11277" max="11277" width="16.5703125" customWidth="1"/>
    <col min="11278" max="11278" width="8.42578125" customWidth="1"/>
    <col min="11280" max="11280" width="6.42578125" customWidth="1"/>
    <col min="11281" max="11281" width="6.28515625" customWidth="1"/>
    <col min="11282" max="11282" width="2.85546875" customWidth="1"/>
    <col min="11521" max="11521" width="1.5703125" customWidth="1"/>
    <col min="11522" max="11522" width="2.85546875" customWidth="1"/>
    <col min="11524" max="11524" width="10.7109375" customWidth="1"/>
    <col min="11525" max="11525" width="5.5703125" customWidth="1"/>
    <col min="11527" max="11527" width="8.85546875" customWidth="1"/>
    <col min="11528" max="11528" width="6.7109375" customWidth="1"/>
    <col min="11530" max="11530" width="8.5703125" customWidth="1"/>
    <col min="11531" max="11531" width="5.140625" customWidth="1"/>
    <col min="11532" max="11532" width="8.28515625" customWidth="1"/>
    <col min="11533" max="11533" width="16.5703125" customWidth="1"/>
    <col min="11534" max="11534" width="8.42578125" customWidth="1"/>
    <col min="11536" max="11536" width="6.42578125" customWidth="1"/>
    <col min="11537" max="11537" width="6.28515625" customWidth="1"/>
    <col min="11538" max="11538" width="2.85546875" customWidth="1"/>
    <col min="11777" max="11777" width="1.5703125" customWidth="1"/>
    <col min="11778" max="11778" width="2.85546875" customWidth="1"/>
    <col min="11780" max="11780" width="10.7109375" customWidth="1"/>
    <col min="11781" max="11781" width="5.5703125" customWidth="1"/>
    <col min="11783" max="11783" width="8.85546875" customWidth="1"/>
    <col min="11784" max="11784" width="6.7109375" customWidth="1"/>
    <col min="11786" max="11786" width="8.5703125" customWidth="1"/>
    <col min="11787" max="11787" width="5.140625" customWidth="1"/>
    <col min="11788" max="11788" width="8.28515625" customWidth="1"/>
    <col min="11789" max="11789" width="16.5703125" customWidth="1"/>
    <col min="11790" max="11790" width="8.42578125" customWidth="1"/>
    <col min="11792" max="11792" width="6.42578125" customWidth="1"/>
    <col min="11793" max="11793" width="6.28515625" customWidth="1"/>
    <col min="11794" max="11794" width="2.85546875" customWidth="1"/>
    <col min="12033" max="12033" width="1.5703125" customWidth="1"/>
    <col min="12034" max="12034" width="2.85546875" customWidth="1"/>
    <col min="12036" max="12036" width="10.7109375" customWidth="1"/>
    <col min="12037" max="12037" width="5.5703125" customWidth="1"/>
    <col min="12039" max="12039" width="8.85546875" customWidth="1"/>
    <col min="12040" max="12040" width="6.7109375" customWidth="1"/>
    <col min="12042" max="12042" width="8.5703125" customWidth="1"/>
    <col min="12043" max="12043" width="5.140625" customWidth="1"/>
    <col min="12044" max="12044" width="8.28515625" customWidth="1"/>
    <col min="12045" max="12045" width="16.5703125" customWidth="1"/>
    <col min="12046" max="12046" width="8.42578125" customWidth="1"/>
    <col min="12048" max="12048" width="6.42578125" customWidth="1"/>
    <col min="12049" max="12049" width="6.28515625" customWidth="1"/>
    <col min="12050" max="12050" width="2.85546875" customWidth="1"/>
    <col min="12289" max="12289" width="1.5703125" customWidth="1"/>
    <col min="12290" max="12290" width="2.85546875" customWidth="1"/>
    <col min="12292" max="12292" width="10.7109375" customWidth="1"/>
    <col min="12293" max="12293" width="5.5703125" customWidth="1"/>
    <col min="12295" max="12295" width="8.85546875" customWidth="1"/>
    <col min="12296" max="12296" width="6.7109375" customWidth="1"/>
    <col min="12298" max="12298" width="8.5703125" customWidth="1"/>
    <col min="12299" max="12299" width="5.140625" customWidth="1"/>
    <col min="12300" max="12300" width="8.28515625" customWidth="1"/>
    <col min="12301" max="12301" width="16.5703125" customWidth="1"/>
    <col min="12302" max="12302" width="8.42578125" customWidth="1"/>
    <col min="12304" max="12304" width="6.42578125" customWidth="1"/>
    <col min="12305" max="12305" width="6.28515625" customWidth="1"/>
    <col min="12306" max="12306" width="2.85546875" customWidth="1"/>
    <col min="12545" max="12545" width="1.5703125" customWidth="1"/>
    <col min="12546" max="12546" width="2.85546875" customWidth="1"/>
    <col min="12548" max="12548" width="10.7109375" customWidth="1"/>
    <col min="12549" max="12549" width="5.5703125" customWidth="1"/>
    <col min="12551" max="12551" width="8.85546875" customWidth="1"/>
    <col min="12552" max="12552" width="6.7109375" customWidth="1"/>
    <col min="12554" max="12554" width="8.5703125" customWidth="1"/>
    <col min="12555" max="12555" width="5.140625" customWidth="1"/>
    <col min="12556" max="12556" width="8.28515625" customWidth="1"/>
    <col min="12557" max="12557" width="16.5703125" customWidth="1"/>
    <col min="12558" max="12558" width="8.42578125" customWidth="1"/>
    <col min="12560" max="12560" width="6.42578125" customWidth="1"/>
    <col min="12561" max="12561" width="6.28515625" customWidth="1"/>
    <col min="12562" max="12562" width="2.85546875" customWidth="1"/>
    <col min="12801" max="12801" width="1.5703125" customWidth="1"/>
    <col min="12802" max="12802" width="2.85546875" customWidth="1"/>
    <col min="12804" max="12804" width="10.7109375" customWidth="1"/>
    <col min="12805" max="12805" width="5.5703125" customWidth="1"/>
    <col min="12807" max="12807" width="8.85546875" customWidth="1"/>
    <col min="12808" max="12808" width="6.7109375" customWidth="1"/>
    <col min="12810" max="12810" width="8.5703125" customWidth="1"/>
    <col min="12811" max="12811" width="5.140625" customWidth="1"/>
    <col min="12812" max="12812" width="8.28515625" customWidth="1"/>
    <col min="12813" max="12813" width="16.5703125" customWidth="1"/>
    <col min="12814" max="12814" width="8.42578125" customWidth="1"/>
    <col min="12816" max="12816" width="6.42578125" customWidth="1"/>
    <col min="12817" max="12817" width="6.28515625" customWidth="1"/>
    <col min="12818" max="12818" width="2.85546875" customWidth="1"/>
    <col min="13057" max="13057" width="1.5703125" customWidth="1"/>
    <col min="13058" max="13058" width="2.85546875" customWidth="1"/>
    <col min="13060" max="13060" width="10.7109375" customWidth="1"/>
    <col min="13061" max="13061" width="5.5703125" customWidth="1"/>
    <col min="13063" max="13063" width="8.85546875" customWidth="1"/>
    <col min="13064" max="13064" width="6.7109375" customWidth="1"/>
    <col min="13066" max="13066" width="8.5703125" customWidth="1"/>
    <col min="13067" max="13067" width="5.140625" customWidth="1"/>
    <col min="13068" max="13068" width="8.28515625" customWidth="1"/>
    <col min="13069" max="13069" width="16.5703125" customWidth="1"/>
    <col min="13070" max="13070" width="8.42578125" customWidth="1"/>
    <col min="13072" max="13072" width="6.42578125" customWidth="1"/>
    <col min="13073" max="13073" width="6.28515625" customWidth="1"/>
    <col min="13074" max="13074" width="2.85546875" customWidth="1"/>
    <col min="13313" max="13313" width="1.5703125" customWidth="1"/>
    <col min="13314" max="13314" width="2.85546875" customWidth="1"/>
    <col min="13316" max="13316" width="10.7109375" customWidth="1"/>
    <col min="13317" max="13317" width="5.5703125" customWidth="1"/>
    <col min="13319" max="13319" width="8.85546875" customWidth="1"/>
    <col min="13320" max="13320" width="6.7109375" customWidth="1"/>
    <col min="13322" max="13322" width="8.5703125" customWidth="1"/>
    <col min="13323" max="13323" width="5.140625" customWidth="1"/>
    <col min="13324" max="13324" width="8.28515625" customWidth="1"/>
    <col min="13325" max="13325" width="16.5703125" customWidth="1"/>
    <col min="13326" max="13326" width="8.42578125" customWidth="1"/>
    <col min="13328" max="13328" width="6.42578125" customWidth="1"/>
    <col min="13329" max="13329" width="6.28515625" customWidth="1"/>
    <col min="13330" max="13330" width="2.85546875" customWidth="1"/>
    <col min="13569" max="13569" width="1.5703125" customWidth="1"/>
    <col min="13570" max="13570" width="2.85546875" customWidth="1"/>
    <col min="13572" max="13572" width="10.7109375" customWidth="1"/>
    <col min="13573" max="13573" width="5.5703125" customWidth="1"/>
    <col min="13575" max="13575" width="8.85546875" customWidth="1"/>
    <col min="13576" max="13576" width="6.7109375" customWidth="1"/>
    <col min="13578" max="13578" width="8.5703125" customWidth="1"/>
    <col min="13579" max="13579" width="5.140625" customWidth="1"/>
    <col min="13580" max="13580" width="8.28515625" customWidth="1"/>
    <col min="13581" max="13581" width="16.5703125" customWidth="1"/>
    <col min="13582" max="13582" width="8.42578125" customWidth="1"/>
    <col min="13584" max="13584" width="6.42578125" customWidth="1"/>
    <col min="13585" max="13585" width="6.28515625" customWidth="1"/>
    <col min="13586" max="13586" width="2.85546875" customWidth="1"/>
    <col min="13825" max="13825" width="1.5703125" customWidth="1"/>
    <col min="13826" max="13826" width="2.85546875" customWidth="1"/>
    <col min="13828" max="13828" width="10.7109375" customWidth="1"/>
    <col min="13829" max="13829" width="5.5703125" customWidth="1"/>
    <col min="13831" max="13831" width="8.85546875" customWidth="1"/>
    <col min="13832" max="13832" width="6.7109375" customWidth="1"/>
    <col min="13834" max="13834" width="8.5703125" customWidth="1"/>
    <col min="13835" max="13835" width="5.140625" customWidth="1"/>
    <col min="13836" max="13836" width="8.28515625" customWidth="1"/>
    <col min="13837" max="13837" width="16.5703125" customWidth="1"/>
    <col min="13838" max="13838" width="8.42578125" customWidth="1"/>
    <col min="13840" max="13840" width="6.42578125" customWidth="1"/>
    <col min="13841" max="13841" width="6.28515625" customWidth="1"/>
    <col min="13842" max="13842" width="2.85546875" customWidth="1"/>
    <col min="14081" max="14081" width="1.5703125" customWidth="1"/>
    <col min="14082" max="14082" width="2.85546875" customWidth="1"/>
    <col min="14084" max="14084" width="10.7109375" customWidth="1"/>
    <col min="14085" max="14085" width="5.5703125" customWidth="1"/>
    <col min="14087" max="14087" width="8.85546875" customWidth="1"/>
    <col min="14088" max="14088" width="6.7109375" customWidth="1"/>
    <col min="14090" max="14090" width="8.5703125" customWidth="1"/>
    <col min="14091" max="14091" width="5.140625" customWidth="1"/>
    <col min="14092" max="14092" width="8.28515625" customWidth="1"/>
    <col min="14093" max="14093" width="16.5703125" customWidth="1"/>
    <col min="14094" max="14094" width="8.42578125" customWidth="1"/>
    <col min="14096" max="14096" width="6.42578125" customWidth="1"/>
    <col min="14097" max="14097" width="6.28515625" customWidth="1"/>
    <col min="14098" max="14098" width="2.85546875" customWidth="1"/>
    <col min="14337" max="14337" width="1.5703125" customWidth="1"/>
    <col min="14338" max="14338" width="2.85546875" customWidth="1"/>
    <col min="14340" max="14340" width="10.7109375" customWidth="1"/>
    <col min="14341" max="14341" width="5.5703125" customWidth="1"/>
    <col min="14343" max="14343" width="8.85546875" customWidth="1"/>
    <col min="14344" max="14344" width="6.7109375" customWidth="1"/>
    <col min="14346" max="14346" width="8.5703125" customWidth="1"/>
    <col min="14347" max="14347" width="5.140625" customWidth="1"/>
    <col min="14348" max="14348" width="8.28515625" customWidth="1"/>
    <col min="14349" max="14349" width="16.5703125" customWidth="1"/>
    <col min="14350" max="14350" width="8.42578125" customWidth="1"/>
    <col min="14352" max="14352" width="6.42578125" customWidth="1"/>
    <col min="14353" max="14353" width="6.28515625" customWidth="1"/>
    <col min="14354" max="14354" width="2.85546875" customWidth="1"/>
    <col min="14593" max="14593" width="1.5703125" customWidth="1"/>
    <col min="14594" max="14594" width="2.85546875" customWidth="1"/>
    <col min="14596" max="14596" width="10.7109375" customWidth="1"/>
    <col min="14597" max="14597" width="5.5703125" customWidth="1"/>
    <col min="14599" max="14599" width="8.85546875" customWidth="1"/>
    <col min="14600" max="14600" width="6.7109375" customWidth="1"/>
    <col min="14602" max="14602" width="8.5703125" customWidth="1"/>
    <col min="14603" max="14603" width="5.140625" customWidth="1"/>
    <col min="14604" max="14604" width="8.28515625" customWidth="1"/>
    <col min="14605" max="14605" width="16.5703125" customWidth="1"/>
    <col min="14606" max="14606" width="8.42578125" customWidth="1"/>
    <col min="14608" max="14608" width="6.42578125" customWidth="1"/>
    <col min="14609" max="14609" width="6.28515625" customWidth="1"/>
    <col min="14610" max="14610" width="2.85546875" customWidth="1"/>
    <col min="14849" max="14849" width="1.5703125" customWidth="1"/>
    <col min="14850" max="14850" width="2.85546875" customWidth="1"/>
    <col min="14852" max="14852" width="10.7109375" customWidth="1"/>
    <col min="14853" max="14853" width="5.5703125" customWidth="1"/>
    <col min="14855" max="14855" width="8.85546875" customWidth="1"/>
    <col min="14856" max="14856" width="6.7109375" customWidth="1"/>
    <col min="14858" max="14858" width="8.5703125" customWidth="1"/>
    <col min="14859" max="14859" width="5.140625" customWidth="1"/>
    <col min="14860" max="14860" width="8.28515625" customWidth="1"/>
    <col min="14861" max="14861" width="16.5703125" customWidth="1"/>
    <col min="14862" max="14862" width="8.42578125" customWidth="1"/>
    <col min="14864" max="14864" width="6.42578125" customWidth="1"/>
    <col min="14865" max="14865" width="6.28515625" customWidth="1"/>
    <col min="14866" max="14866" width="2.85546875" customWidth="1"/>
    <col min="15105" max="15105" width="1.5703125" customWidth="1"/>
    <col min="15106" max="15106" width="2.85546875" customWidth="1"/>
    <col min="15108" max="15108" width="10.7109375" customWidth="1"/>
    <col min="15109" max="15109" width="5.5703125" customWidth="1"/>
    <col min="15111" max="15111" width="8.85546875" customWidth="1"/>
    <col min="15112" max="15112" width="6.7109375" customWidth="1"/>
    <col min="15114" max="15114" width="8.5703125" customWidth="1"/>
    <col min="15115" max="15115" width="5.140625" customWidth="1"/>
    <col min="15116" max="15116" width="8.28515625" customWidth="1"/>
    <col min="15117" max="15117" width="16.5703125" customWidth="1"/>
    <col min="15118" max="15118" width="8.42578125" customWidth="1"/>
    <col min="15120" max="15120" width="6.42578125" customWidth="1"/>
    <col min="15121" max="15121" width="6.28515625" customWidth="1"/>
    <col min="15122" max="15122" width="2.85546875" customWidth="1"/>
    <col min="15361" max="15361" width="1.5703125" customWidth="1"/>
    <col min="15362" max="15362" width="2.85546875" customWidth="1"/>
    <col min="15364" max="15364" width="10.7109375" customWidth="1"/>
    <col min="15365" max="15365" width="5.5703125" customWidth="1"/>
    <col min="15367" max="15367" width="8.85546875" customWidth="1"/>
    <col min="15368" max="15368" width="6.7109375" customWidth="1"/>
    <col min="15370" max="15370" width="8.5703125" customWidth="1"/>
    <col min="15371" max="15371" width="5.140625" customWidth="1"/>
    <col min="15372" max="15372" width="8.28515625" customWidth="1"/>
    <col min="15373" max="15373" width="16.5703125" customWidth="1"/>
    <col min="15374" max="15374" width="8.42578125" customWidth="1"/>
    <col min="15376" max="15376" width="6.42578125" customWidth="1"/>
    <col min="15377" max="15377" width="6.28515625" customWidth="1"/>
    <col min="15378" max="15378" width="2.85546875" customWidth="1"/>
    <col min="15617" max="15617" width="1.5703125" customWidth="1"/>
    <col min="15618" max="15618" width="2.85546875" customWidth="1"/>
    <col min="15620" max="15620" width="10.7109375" customWidth="1"/>
    <col min="15621" max="15621" width="5.5703125" customWidth="1"/>
    <col min="15623" max="15623" width="8.85546875" customWidth="1"/>
    <col min="15624" max="15624" width="6.7109375" customWidth="1"/>
    <col min="15626" max="15626" width="8.5703125" customWidth="1"/>
    <col min="15627" max="15627" width="5.140625" customWidth="1"/>
    <col min="15628" max="15628" width="8.28515625" customWidth="1"/>
    <col min="15629" max="15629" width="16.5703125" customWidth="1"/>
    <col min="15630" max="15630" width="8.42578125" customWidth="1"/>
    <col min="15632" max="15632" width="6.42578125" customWidth="1"/>
    <col min="15633" max="15633" width="6.28515625" customWidth="1"/>
    <col min="15634" max="15634" width="2.85546875" customWidth="1"/>
    <col min="15873" max="15873" width="1.5703125" customWidth="1"/>
    <col min="15874" max="15874" width="2.85546875" customWidth="1"/>
    <col min="15876" max="15876" width="10.7109375" customWidth="1"/>
    <col min="15877" max="15877" width="5.5703125" customWidth="1"/>
    <col min="15879" max="15879" width="8.85546875" customWidth="1"/>
    <col min="15880" max="15880" width="6.7109375" customWidth="1"/>
    <col min="15882" max="15882" width="8.5703125" customWidth="1"/>
    <col min="15883" max="15883" width="5.140625" customWidth="1"/>
    <col min="15884" max="15884" width="8.28515625" customWidth="1"/>
    <col min="15885" max="15885" width="16.5703125" customWidth="1"/>
    <col min="15886" max="15886" width="8.42578125" customWidth="1"/>
    <col min="15888" max="15888" width="6.42578125" customWidth="1"/>
    <col min="15889" max="15889" width="6.28515625" customWidth="1"/>
    <col min="15890" max="15890" width="2.85546875" customWidth="1"/>
    <col min="16129" max="16129" width="1.5703125" customWidth="1"/>
    <col min="16130" max="16130" width="2.85546875" customWidth="1"/>
    <col min="16132" max="16132" width="10.7109375" customWidth="1"/>
    <col min="16133" max="16133" width="5.5703125" customWidth="1"/>
    <col min="16135" max="16135" width="8.85546875" customWidth="1"/>
    <col min="16136" max="16136" width="6.7109375" customWidth="1"/>
    <col min="16138" max="16138" width="8.5703125" customWidth="1"/>
    <col min="16139" max="16139" width="5.140625" customWidth="1"/>
    <col min="16140" max="16140" width="8.28515625" customWidth="1"/>
    <col min="16141" max="16141" width="16.5703125" customWidth="1"/>
    <col min="16142" max="16142" width="8.42578125" customWidth="1"/>
    <col min="16144" max="16144" width="6.42578125" customWidth="1"/>
    <col min="16145" max="16145" width="6.28515625" customWidth="1"/>
    <col min="16146" max="16146" width="2.85546875" customWidth="1"/>
  </cols>
  <sheetData>
    <row r="1" spans="2:18" ht="3" customHeight="1" thickBot="1" x14ac:dyDescent="0.3"/>
    <row r="2" spans="2:18" ht="16.149999999999999" customHeight="1" thickBot="1" x14ac:dyDescent="0.3">
      <c r="B2" s="142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4"/>
    </row>
    <row r="3" spans="2:18" ht="14.45" customHeight="1" x14ac:dyDescent="0.25">
      <c r="B3" s="145"/>
      <c r="C3" s="491" t="str">
        <f>IF(Zadání!F8="","",Zadání!F8)</f>
        <v/>
      </c>
      <c r="D3" s="492"/>
      <c r="E3" s="492"/>
      <c r="F3" s="492"/>
      <c r="G3" s="492"/>
      <c r="H3" s="492"/>
      <c r="I3" s="493"/>
      <c r="J3" t="s">
        <v>58</v>
      </c>
      <c r="M3" s="500">
        <f>'1. Charakteristiky rozhraní'!F21</f>
        <v>0</v>
      </c>
      <c r="N3" s="501"/>
      <c r="O3" s="501"/>
      <c r="P3" s="501"/>
      <c r="Q3" s="502"/>
      <c r="R3" s="1"/>
    </row>
    <row r="4" spans="2:18" ht="14.45" customHeight="1" x14ac:dyDescent="0.25">
      <c r="B4" s="145"/>
      <c r="C4" s="494"/>
      <c r="D4" s="495"/>
      <c r="E4" s="495"/>
      <c r="F4" s="495"/>
      <c r="G4" s="495"/>
      <c r="H4" s="495"/>
      <c r="I4" s="496"/>
      <c r="M4" s="503"/>
      <c r="N4" s="504"/>
      <c r="O4" s="504"/>
      <c r="P4" s="504"/>
      <c r="Q4" s="505"/>
      <c r="R4" s="1"/>
    </row>
    <row r="5" spans="2:18" ht="14.45" customHeight="1" x14ac:dyDescent="0.25">
      <c r="B5" s="145"/>
      <c r="C5" s="494"/>
      <c r="D5" s="495"/>
      <c r="E5" s="495"/>
      <c r="F5" s="495"/>
      <c r="G5" s="495"/>
      <c r="H5" s="495"/>
      <c r="I5" s="496"/>
      <c r="M5" s="503"/>
      <c r="N5" s="504"/>
      <c r="O5" s="504"/>
      <c r="P5" s="504"/>
      <c r="Q5" s="505"/>
      <c r="R5" s="1"/>
    </row>
    <row r="6" spans="2:18" ht="14.45" customHeight="1" x14ac:dyDescent="0.25">
      <c r="B6" s="145"/>
      <c r="C6" s="494"/>
      <c r="D6" s="495"/>
      <c r="E6" s="495"/>
      <c r="F6" s="495"/>
      <c r="G6" s="495"/>
      <c r="H6" s="495"/>
      <c r="I6" s="496"/>
      <c r="M6" s="503"/>
      <c r="N6" s="504"/>
      <c r="O6" s="504"/>
      <c r="P6" s="504"/>
      <c r="Q6" s="505"/>
      <c r="R6" s="1"/>
    </row>
    <row r="7" spans="2:18" ht="14.45" customHeight="1" x14ac:dyDescent="0.25">
      <c r="B7" s="145"/>
      <c r="C7" s="494"/>
      <c r="D7" s="495"/>
      <c r="E7" s="495"/>
      <c r="F7" s="495"/>
      <c r="G7" s="495"/>
      <c r="H7" s="495"/>
      <c r="I7" s="496"/>
      <c r="M7" s="503"/>
      <c r="N7" s="504"/>
      <c r="O7" s="504"/>
      <c r="P7" s="504"/>
      <c r="Q7" s="505"/>
      <c r="R7" s="1"/>
    </row>
    <row r="8" spans="2:18" ht="14.45" customHeight="1" x14ac:dyDescent="0.25">
      <c r="B8" s="145"/>
      <c r="C8" s="494"/>
      <c r="D8" s="495"/>
      <c r="E8" s="495"/>
      <c r="F8" s="495"/>
      <c r="G8" s="495"/>
      <c r="H8" s="495"/>
      <c r="I8" s="496"/>
      <c r="M8" s="503"/>
      <c r="N8" s="504"/>
      <c r="O8" s="504"/>
      <c r="P8" s="504"/>
      <c r="Q8" s="505"/>
      <c r="R8" s="1"/>
    </row>
    <row r="9" spans="2:18" ht="14.45" customHeight="1" x14ac:dyDescent="0.25">
      <c r="B9" s="145"/>
      <c r="C9" s="494"/>
      <c r="D9" s="495"/>
      <c r="E9" s="495"/>
      <c r="F9" s="495"/>
      <c r="G9" s="495"/>
      <c r="H9" s="495"/>
      <c r="I9" s="496"/>
      <c r="M9" s="503"/>
      <c r="N9" s="504"/>
      <c r="O9" s="504"/>
      <c r="P9" s="504"/>
      <c r="Q9" s="505"/>
      <c r="R9" s="1"/>
    </row>
    <row r="10" spans="2:18" ht="33" customHeight="1" thickBot="1" x14ac:dyDescent="0.3">
      <c r="B10" s="145"/>
      <c r="C10" s="497"/>
      <c r="D10" s="498"/>
      <c r="E10" s="498"/>
      <c r="F10" s="498"/>
      <c r="G10" s="498"/>
      <c r="H10" s="498"/>
      <c r="I10" s="499"/>
      <c r="M10" s="506"/>
      <c r="N10" s="507"/>
      <c r="O10" s="507"/>
      <c r="P10" s="507"/>
      <c r="Q10" s="508"/>
      <c r="R10" s="1"/>
    </row>
    <row r="11" spans="2:18" ht="16.149999999999999" customHeight="1" x14ac:dyDescent="0.25">
      <c r="B11" s="145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"/>
    </row>
    <row r="12" spans="2:18" ht="30" customHeight="1" thickBot="1" x14ac:dyDescent="0.55000000000000004">
      <c r="B12" s="145"/>
      <c r="C12" s="146">
        <f>Zadání!C8</f>
        <v>0</v>
      </c>
      <c r="D12" s="146"/>
      <c r="E12" s="146"/>
      <c r="F12" s="146"/>
      <c r="G12" s="147"/>
      <c r="H12" s="147"/>
      <c r="I12" s="147"/>
      <c r="J12" s="147"/>
      <c r="K12" s="13"/>
      <c r="L12" s="148"/>
      <c r="M12" s="509" t="s">
        <v>34</v>
      </c>
      <c r="N12" s="509"/>
      <c r="O12" s="509"/>
      <c r="P12" s="509"/>
      <c r="Q12" s="509"/>
      <c r="R12" s="1"/>
    </row>
    <row r="13" spans="2:18" ht="16.149999999999999" customHeight="1" x14ac:dyDescent="0.5">
      <c r="B13" s="145"/>
      <c r="C13" s="146"/>
      <c r="D13" s="146"/>
      <c r="E13" s="146"/>
      <c r="F13" s="146"/>
      <c r="G13" s="147"/>
      <c r="H13" s="147"/>
      <c r="I13" s="147"/>
      <c r="J13" s="147"/>
      <c r="K13" s="149"/>
      <c r="L13" s="149"/>
      <c r="M13" s="510">
        <f>Zadání!C21</f>
        <v>0</v>
      </c>
      <c r="N13" s="511"/>
      <c r="O13" s="511"/>
      <c r="P13" s="511"/>
      <c r="Q13" s="512"/>
      <c r="R13" s="1"/>
    </row>
    <row r="14" spans="2:18" ht="30" customHeight="1" x14ac:dyDescent="0.5">
      <c r="B14" s="145"/>
      <c r="C14" s="146" t="str">
        <f>Zadání!C10&amp;", "&amp;Zadání!C11</f>
        <v xml:space="preserve">, </v>
      </c>
      <c r="D14" s="146"/>
      <c r="E14" s="146"/>
      <c r="F14" s="146"/>
      <c r="G14" s="147"/>
      <c r="H14" s="147"/>
      <c r="I14" s="147"/>
      <c r="J14" s="147"/>
      <c r="K14" s="13"/>
      <c r="L14" s="13"/>
      <c r="M14" s="513"/>
      <c r="N14" s="514"/>
      <c r="O14" s="514"/>
      <c r="P14" s="514"/>
      <c r="Q14" s="515"/>
      <c r="R14" s="1"/>
    </row>
    <row r="15" spans="2:18" ht="16.149999999999999" customHeight="1" x14ac:dyDescent="0.5">
      <c r="B15" s="145"/>
      <c r="C15" s="146"/>
      <c r="D15" s="146"/>
      <c r="E15" s="146"/>
      <c r="F15" s="146"/>
      <c r="G15" s="147"/>
      <c r="H15" s="147"/>
      <c r="I15" s="147"/>
      <c r="J15" s="147"/>
      <c r="K15" s="13"/>
      <c r="L15" s="13"/>
      <c r="M15" s="513"/>
      <c r="N15" s="514"/>
      <c r="O15" s="514"/>
      <c r="P15" s="514"/>
      <c r="Q15" s="515"/>
      <c r="R15" s="1"/>
    </row>
    <row r="16" spans="2:18" ht="30" customHeight="1" x14ac:dyDescent="0.5">
      <c r="B16" s="145"/>
      <c r="C16" s="522" t="str">
        <f>IF(Zadání!C15="","",Zadání!C15)</f>
        <v/>
      </c>
      <c r="D16" s="522"/>
      <c r="E16" s="522"/>
      <c r="F16" s="521" t="str">
        <f>"tel. "&amp;Zadání!C13</f>
        <v xml:space="preserve">tel. </v>
      </c>
      <c r="G16" s="521"/>
      <c r="H16" s="521"/>
      <c r="I16" s="521"/>
      <c r="J16" s="521"/>
      <c r="K16" s="150"/>
      <c r="L16" s="13"/>
      <c r="M16" s="513"/>
      <c r="N16" s="514"/>
      <c r="O16" s="514"/>
      <c r="P16" s="514"/>
      <c r="Q16" s="515"/>
      <c r="R16" s="1"/>
    </row>
    <row r="17" spans="2:18" ht="16.149999999999999" customHeight="1" thickBot="1" x14ac:dyDescent="0.3">
      <c r="B17" s="145"/>
      <c r="C17" s="13"/>
      <c r="D17" s="13"/>
      <c r="E17" s="13"/>
      <c r="F17" s="13"/>
      <c r="G17" s="13"/>
      <c r="H17" s="13"/>
      <c r="I17" s="148"/>
      <c r="J17" s="13"/>
      <c r="K17" s="13"/>
      <c r="L17" s="13"/>
      <c r="M17" s="516"/>
      <c r="N17" s="517"/>
      <c r="O17" s="517"/>
      <c r="P17" s="517"/>
      <c r="Q17" s="518"/>
      <c r="R17" s="1"/>
    </row>
    <row r="18" spans="2:18" ht="30" customHeight="1" thickBot="1" x14ac:dyDescent="0.55000000000000004">
      <c r="B18" s="145"/>
      <c r="C18" s="478" t="str">
        <f>'Zdrojová data'!S16</f>
        <v>F-05-1-1A8-16/1000-1/3/12-S</v>
      </c>
      <c r="D18" s="479"/>
      <c r="E18" s="479"/>
      <c r="F18" s="479"/>
      <c r="G18" s="479"/>
      <c r="H18" s="479"/>
      <c r="I18" s="479"/>
      <c r="J18" s="480"/>
      <c r="K18" s="150" t="s">
        <v>5</v>
      </c>
      <c r="L18" s="149"/>
      <c r="M18" s="519" t="s">
        <v>250</v>
      </c>
      <c r="N18" s="519"/>
      <c r="O18" s="519"/>
      <c r="P18" s="519"/>
      <c r="Q18" s="519"/>
      <c r="R18" s="1"/>
    </row>
    <row r="19" spans="2:18" ht="16.149999999999999" customHeight="1" thickBot="1" x14ac:dyDescent="0.3">
      <c r="B19" s="145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520"/>
      <c r="N19" s="520"/>
      <c r="O19" s="520"/>
      <c r="P19" s="520"/>
      <c r="Q19" s="520"/>
      <c r="R19" s="1"/>
    </row>
    <row r="20" spans="2:18" ht="30" customHeight="1" thickBot="1" x14ac:dyDescent="0.55000000000000004">
      <c r="B20" s="145"/>
      <c r="C20" s="484" t="s">
        <v>179</v>
      </c>
      <c r="D20" s="485"/>
      <c r="E20" s="485"/>
      <c r="F20" s="485"/>
      <c r="G20" s="485"/>
      <c r="H20" s="485"/>
      <c r="I20" s="485"/>
      <c r="J20" s="486"/>
      <c r="K20" s="13"/>
      <c r="L20" s="13"/>
      <c r="M20" s="487">
        <f>'1. Charakteristiky rozhraní'!F24</f>
        <v>0</v>
      </c>
      <c r="N20" s="488"/>
      <c r="O20" s="488"/>
      <c r="P20" s="488"/>
      <c r="Q20" s="489"/>
      <c r="R20" s="151"/>
    </row>
    <row r="21" spans="2:18" ht="16.149999999999999" customHeight="1" thickBot="1" x14ac:dyDescent="0.3">
      <c r="B21" s="145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"/>
    </row>
    <row r="22" spans="2:18" ht="30" customHeight="1" thickBot="1" x14ac:dyDescent="0.55000000000000004">
      <c r="B22" s="145"/>
      <c r="C22" s="478" t="s">
        <v>322</v>
      </c>
      <c r="D22" s="480"/>
      <c r="E22" s="13"/>
      <c r="F22" s="481" t="str">
        <f>"Un= "&amp;'1. Charakteristiky rozhraní'!F26&amp;" V DC"</f>
        <v>Un= 1000 V DC</v>
      </c>
      <c r="G22" s="482"/>
      <c r="H22" s="482"/>
      <c r="I22" s="482"/>
      <c r="J22" s="483"/>
      <c r="K22" s="152"/>
      <c r="L22" s="153" t="s">
        <v>251</v>
      </c>
      <c r="M22" s="154" t="str">
        <f>'1. Charakteristiky rozhraní'!F30&amp;" A"</f>
        <v>1 x 16 A</v>
      </c>
      <c r="N22" s="155"/>
      <c r="O22" s="490" t="str">
        <f>'1. Charakteristiky rozhraní'!F55&amp;" kg"</f>
        <v>2,1 kg</v>
      </c>
      <c r="P22" s="482"/>
      <c r="Q22" s="483"/>
      <c r="R22" s="1"/>
    </row>
    <row r="23" spans="2:18" ht="16.149999999999999" customHeight="1" thickBot="1" x14ac:dyDescent="0.3">
      <c r="B23" s="145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"/>
    </row>
    <row r="24" spans="2:18" ht="30" customHeight="1" thickBot="1" x14ac:dyDescent="0.55000000000000004">
      <c r="B24" s="145"/>
      <c r="C24" s="150" t="s">
        <v>252</v>
      </c>
      <c r="D24" s="156"/>
      <c r="E24" s="478" t="str">
        <f>('1. Charakteristiky rozhraní'!F51&amp;"x"&amp;'1. Charakteristiky rozhraní'!F52&amp;"x"&amp;'1. Charakteristiky rozhraní'!F53&amp;" mm")</f>
        <v>238x118x231 mm</v>
      </c>
      <c r="F24" s="479"/>
      <c r="G24" s="479"/>
      <c r="H24" s="479"/>
      <c r="I24" s="479"/>
      <c r="J24" s="480"/>
      <c r="K24" s="157"/>
      <c r="L24" s="158"/>
      <c r="M24" s="154" t="str">
        <f>'1. Charakteristiky rozhraní'!F40</f>
        <v>IK 08</v>
      </c>
      <c r="N24" s="159"/>
      <c r="O24" s="478" t="str">
        <f>"IP "&amp;'1. Charakteristiky rozhraní'!F39</f>
        <v>IP 65/20</v>
      </c>
      <c r="P24" s="479"/>
      <c r="Q24" s="480"/>
      <c r="R24" s="1"/>
    </row>
    <row r="25" spans="2:18" ht="16.149999999999999" customHeight="1" x14ac:dyDescent="0.25">
      <c r="B25" s="145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"/>
    </row>
    <row r="26" spans="2:18" ht="16.149999999999999" customHeight="1" thickBot="1" x14ac:dyDescent="0.3">
      <c r="B26" s="160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8"/>
    </row>
  </sheetData>
  <sheetProtection algorithmName="SHA-512" hashValue="WvU3nay2CT41x/xNQnXjDq4g7VkkKCw8L2OlYu3RpYhJeUPeqtoGXYRhu+U4yJmf8qBWZf0ZucIFdE2vdNXsOg==" saltValue="wnCUPl9zdUrq2OUGarBGOw==" spinCount="100000" sheet="1" formatColumns="0" formatRows="0"/>
  <protectedRanges>
    <protectedRange sqref="C3:I10" name="Oblast1"/>
  </protectedRanges>
  <mergeCells count="15">
    <mergeCell ref="C3:I10"/>
    <mergeCell ref="M3:Q10"/>
    <mergeCell ref="M12:Q12"/>
    <mergeCell ref="M13:Q17"/>
    <mergeCell ref="C18:J18"/>
    <mergeCell ref="M18:Q19"/>
    <mergeCell ref="F16:J16"/>
    <mergeCell ref="C16:E16"/>
    <mergeCell ref="E24:J24"/>
    <mergeCell ref="O24:Q24"/>
    <mergeCell ref="F22:J22"/>
    <mergeCell ref="C20:J20"/>
    <mergeCell ref="M20:Q20"/>
    <mergeCell ref="C22:D22"/>
    <mergeCell ref="O22:Q22"/>
  </mergeCells>
  <pageMargins left="0" right="0" top="0" bottom="0" header="0" footer="0"/>
  <pageSetup paperSize="9" scale="3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ist8">
    <tabColor theme="3"/>
    <pageSetUpPr fitToPage="1"/>
  </sheetPr>
  <dimension ref="B1:N74"/>
  <sheetViews>
    <sheetView showGridLines="0" showZeros="0" view="pageBreakPreview" topLeftCell="A8" zoomScale="85" zoomScaleNormal="70" zoomScaleSheetLayoutView="85" workbookViewId="0">
      <selection activeCell="B3" sqref="B3:R3"/>
    </sheetView>
  </sheetViews>
  <sheetFormatPr defaultRowHeight="15" x14ac:dyDescent="0.25"/>
  <cols>
    <col min="1" max="1" width="2.140625" customWidth="1"/>
    <col min="2" max="2" width="12.85546875" customWidth="1"/>
    <col min="3" max="3" width="13.7109375" customWidth="1"/>
    <col min="4" max="4" width="6.28515625" customWidth="1"/>
    <col min="5" max="5" width="5.5703125" customWidth="1"/>
    <col min="6" max="6" width="34.42578125" customWidth="1"/>
    <col min="7" max="7" width="9.7109375" customWidth="1"/>
    <col min="8" max="8" width="7.42578125" customWidth="1"/>
    <col min="9" max="9" width="14" customWidth="1"/>
    <col min="10" max="10" width="4.42578125" customWidth="1"/>
    <col min="11" max="11" width="9.28515625" customWidth="1"/>
    <col min="12" max="12" width="22" customWidth="1"/>
    <col min="13" max="13" width="4" customWidth="1"/>
  </cols>
  <sheetData>
    <row r="1" spans="2:14" ht="17.45" customHeight="1" x14ac:dyDescent="0.3">
      <c r="B1" s="532" t="s">
        <v>110</v>
      </c>
      <c r="C1" s="53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2:14" ht="15" customHeight="1" x14ac:dyDescent="0.3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N2" s="96" t="str">
        <f>'1. Charakteristiky rozhraní'!J2</f>
        <v>verze 1.08</v>
      </c>
    </row>
    <row r="3" spans="2:14" ht="15" customHeight="1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2:14" ht="14.45" customHeight="1" x14ac:dyDescent="0.25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2:14" ht="36.6" customHeight="1" x14ac:dyDescent="0.25">
      <c r="B5" s="534" t="s">
        <v>327</v>
      </c>
      <c r="C5" s="534"/>
      <c r="D5" s="534"/>
      <c r="E5" s="534"/>
      <c r="F5" s="534"/>
      <c r="G5" s="534"/>
      <c r="H5" s="534"/>
      <c r="I5" s="534"/>
      <c r="J5" s="534"/>
      <c r="K5" s="534"/>
      <c r="L5" s="534"/>
      <c r="M5" s="534"/>
      <c r="N5" s="534"/>
    </row>
    <row r="6" spans="2:14" x14ac:dyDescent="0.25"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2:14" x14ac:dyDescent="0.25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2:14" ht="28.9" customHeight="1" x14ac:dyDescent="0.3">
      <c r="B8" s="13"/>
      <c r="C8" s="80" t="s">
        <v>93</v>
      </c>
      <c r="D8" s="81"/>
      <c r="E8" s="81"/>
      <c r="F8" s="544" t="str">
        <f>'Zdrojová data'!S16</f>
        <v>F-05-1-1A8-16/1000-1/3/12-S</v>
      </c>
      <c r="G8" s="544"/>
      <c r="H8" s="545"/>
      <c r="I8" s="13"/>
      <c r="J8" s="535" t="str">
        <f>IF(Zadání!F8="","",Zadání!F8)</f>
        <v/>
      </c>
      <c r="K8" s="536"/>
      <c r="L8" s="536"/>
      <c r="M8" s="537"/>
    </row>
    <row r="9" spans="2:14" ht="14.45" customHeight="1" x14ac:dyDescent="0.3">
      <c r="B9" s="13"/>
      <c r="C9" s="82"/>
      <c r="D9" s="55"/>
      <c r="E9" s="55"/>
      <c r="F9" s="83"/>
      <c r="G9" s="83"/>
      <c r="H9" s="83"/>
      <c r="I9" s="13"/>
      <c r="J9" s="538"/>
      <c r="K9" s="539"/>
      <c r="L9" s="539"/>
      <c r="M9" s="540"/>
    </row>
    <row r="10" spans="2:14" ht="28.9" customHeight="1" x14ac:dyDescent="0.3">
      <c r="B10" s="13"/>
      <c r="C10" s="80" t="s">
        <v>15</v>
      </c>
      <c r="D10" s="81"/>
      <c r="E10" s="81"/>
      <c r="F10" s="544">
        <f>VyrCislo</f>
        <v>0</v>
      </c>
      <c r="G10" s="544"/>
      <c r="H10" s="545"/>
      <c r="I10" s="14"/>
      <c r="J10" s="538"/>
      <c r="K10" s="539"/>
      <c r="L10" s="539"/>
      <c r="M10" s="540"/>
    </row>
    <row r="11" spans="2:14" ht="14.45" customHeight="1" x14ac:dyDescent="0.3">
      <c r="B11" s="13"/>
      <c r="C11" s="55"/>
      <c r="D11" s="55"/>
      <c r="E11" s="55"/>
      <c r="F11" s="83"/>
      <c r="G11" s="83"/>
      <c r="H11" s="83"/>
      <c r="I11" s="13"/>
      <c r="J11" s="538"/>
      <c r="K11" s="539"/>
      <c r="L11" s="539"/>
      <c r="M11" s="540"/>
    </row>
    <row r="12" spans="2:14" ht="28.9" customHeight="1" x14ac:dyDescent="0.3">
      <c r="B12" s="13"/>
      <c r="C12" s="80" t="s">
        <v>14</v>
      </c>
      <c r="D12" s="81"/>
      <c r="E12" s="81"/>
      <c r="F12" s="544">
        <f>OznaceniRozvadece</f>
        <v>0</v>
      </c>
      <c r="G12" s="544"/>
      <c r="H12" s="545"/>
      <c r="I12" s="13"/>
      <c r="J12" s="541"/>
      <c r="K12" s="542"/>
      <c r="L12" s="542"/>
      <c r="M12" s="543"/>
    </row>
    <row r="13" spans="2:14" x14ac:dyDescent="0.25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spans="2:14" ht="21" x14ac:dyDescent="0.35">
      <c r="B14" s="13"/>
      <c r="C14" s="15" t="s">
        <v>73</v>
      </c>
      <c r="D14" s="13"/>
      <c r="E14" s="13"/>
      <c r="F14" s="13"/>
      <c r="G14" s="13"/>
      <c r="H14" s="13"/>
      <c r="I14" s="13"/>
      <c r="J14" s="13"/>
      <c r="K14" s="13"/>
      <c r="L14" s="13"/>
    </row>
    <row r="15" spans="2:14" x14ac:dyDescent="0.25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spans="2:14" ht="15.75" x14ac:dyDescent="0.25">
      <c r="B16" s="16"/>
      <c r="C16" s="17" t="s">
        <v>94</v>
      </c>
      <c r="D16" s="18"/>
      <c r="E16" s="18"/>
      <c r="F16" s="19"/>
      <c r="G16" s="19"/>
      <c r="H16" s="19"/>
      <c r="I16" s="18"/>
      <c r="J16" s="18"/>
      <c r="K16" s="18"/>
      <c r="L16" s="18"/>
    </row>
    <row r="17" spans="2:12" ht="15.75" x14ac:dyDescent="0.25">
      <c r="B17" s="18"/>
      <c r="C17" s="18" t="s">
        <v>74</v>
      </c>
      <c r="D17" s="18"/>
      <c r="E17" s="18"/>
      <c r="F17" s="18" t="s">
        <v>36</v>
      </c>
      <c r="G17" s="18"/>
      <c r="H17" s="18"/>
      <c r="I17" s="18"/>
      <c r="J17" s="18"/>
      <c r="K17" s="20"/>
      <c r="L17" s="60"/>
    </row>
    <row r="18" spans="2:12" ht="15.75" x14ac:dyDescent="0.25">
      <c r="B18" s="21"/>
      <c r="C18" s="13" t="str">
        <f>'Zdrojová data'!H4</f>
        <v>BK050201--</v>
      </c>
      <c r="D18" s="18"/>
      <c r="E18" s="22"/>
      <c r="F18" s="533" t="str">
        <f>IF(C18="","",VLOOKUP(CONCATENATE(C18,"*"),Databaze!$1:$1048576,2,0))</f>
        <v>Rozvodnice nástěnná, 1x8 mod.,IP65, průhledné dveře</v>
      </c>
      <c r="G18" s="533"/>
      <c r="H18" s="533"/>
      <c r="I18" s="533"/>
      <c r="J18" s="13"/>
      <c r="K18" s="84"/>
      <c r="L18" s="13"/>
    </row>
    <row r="19" spans="2:12" ht="15.75" x14ac:dyDescent="0.25">
      <c r="B19" s="21"/>
      <c r="C19" s="18"/>
      <c r="D19" s="18"/>
      <c r="E19" s="22"/>
      <c r="F19" s="18"/>
      <c r="G19" s="18"/>
      <c r="H19" s="18"/>
      <c r="I19" s="18"/>
      <c r="J19" s="13"/>
      <c r="K19" s="23"/>
      <c r="L19" s="18"/>
    </row>
    <row r="20" spans="2:12" ht="15.75" x14ac:dyDescent="0.25">
      <c r="B20" s="21"/>
      <c r="C20" s="17" t="s">
        <v>75</v>
      </c>
      <c r="D20" s="18"/>
      <c r="E20" s="22"/>
      <c r="F20" s="18"/>
      <c r="G20" s="18"/>
      <c r="H20" s="18"/>
      <c r="I20" s="18"/>
      <c r="J20" s="13"/>
      <c r="K20" s="23"/>
      <c r="L20" s="18"/>
    </row>
    <row r="21" spans="2:12" ht="15.75" x14ac:dyDescent="0.25">
      <c r="B21" s="21"/>
      <c r="C21" s="18" t="s">
        <v>74</v>
      </c>
      <c r="D21" s="126" t="s">
        <v>76</v>
      </c>
      <c r="E21" s="22"/>
      <c r="F21" s="18" t="s">
        <v>36</v>
      </c>
      <c r="G21" s="18"/>
      <c r="H21" s="18"/>
      <c r="I21" s="18"/>
      <c r="J21" s="18"/>
      <c r="K21" s="20"/>
      <c r="L21" s="20"/>
    </row>
    <row r="22" spans="2:12" ht="15.75" x14ac:dyDescent="0.25">
      <c r="B22" s="21"/>
      <c r="C22" s="208" t="str">
        <f>'Zdrojová data'!H5</f>
        <v>IS01111100</v>
      </c>
      <c r="D22" s="86">
        <f>'Zdrojová data'!J5</f>
        <v>1</v>
      </c>
      <c r="E22" s="22"/>
      <c r="F22" s="533" t="str">
        <f>'Zdrojová data'!N5</f>
        <v>Svodič přepětí pro fotovoltaiku T1/2, 12,5 kA, modulový</v>
      </c>
      <c r="G22" s="533"/>
      <c r="H22" s="533"/>
      <c r="I22" s="533"/>
      <c r="J22" s="13"/>
      <c r="K22" s="84"/>
      <c r="L22" s="76"/>
    </row>
    <row r="23" spans="2:12" ht="15.75" x14ac:dyDescent="0.25">
      <c r="B23" s="21"/>
      <c r="C23" s="208" t="str">
        <f>'Zdrojová data'!H6</f>
        <v>BK050097--</v>
      </c>
      <c r="D23" s="86">
        <f>'Zdrojová data'!J6</f>
        <v>1</v>
      </c>
      <c r="E23" s="22"/>
      <c r="F23" s="533" t="str">
        <f>'Zdrojová data'!N6</f>
        <v>Zámek pro rozvodnice BK05 , krytí IP65</v>
      </c>
      <c r="G23" s="533"/>
      <c r="H23" s="533"/>
      <c r="I23" s="533"/>
      <c r="J23" s="13"/>
      <c r="K23" s="84"/>
      <c r="L23" s="76"/>
    </row>
    <row r="24" spans="2:12" ht="15.75" x14ac:dyDescent="0.25">
      <c r="B24" s="21"/>
      <c r="C24" s="208" t="str">
        <f>'Zdrojová data'!H7</f>
        <v>IK111010--</v>
      </c>
      <c r="D24" s="86">
        <f>'Zdrojová data'!J7</f>
        <v>1</v>
      </c>
      <c r="E24" s="22"/>
      <c r="F24" s="533" t="str">
        <f>'Zdrojová data'!N7</f>
        <v>Řadová svorka CBC.10 modrá, 10mm²</v>
      </c>
      <c r="G24" s="533"/>
      <c r="H24" s="533"/>
      <c r="I24" s="533"/>
      <c r="J24" s="13"/>
      <c r="K24" s="84"/>
      <c r="L24" s="76"/>
    </row>
    <row r="25" spans="2:12" ht="15.75" x14ac:dyDescent="0.25">
      <c r="B25" s="21"/>
      <c r="C25" s="208" t="str">
        <f>'Zdrojová data'!H8</f>
        <v>IK110010--</v>
      </c>
      <c r="D25" s="86">
        <f>'Zdrojová data'!J8</f>
        <v>1</v>
      </c>
      <c r="E25" s="22"/>
      <c r="F25" s="533" t="str">
        <f>'Zdrojová data'!N8</f>
        <v>Řadová svorka CBC.10 šedá, 10mm²</v>
      </c>
      <c r="G25" s="533"/>
      <c r="H25" s="533"/>
      <c r="I25" s="533"/>
      <c r="J25" s="13"/>
      <c r="K25" s="84"/>
      <c r="L25" s="76"/>
    </row>
    <row r="26" spans="2:12" ht="15.75" x14ac:dyDescent="0.25">
      <c r="B26" s="21"/>
      <c r="C26" s="208" t="str">
        <f>'Zdrojová data'!H9</f>
        <v>IK110210--</v>
      </c>
      <c r="D26" s="86">
        <f>'Zdrojová data'!J9</f>
        <v>2</v>
      </c>
      <c r="E26" s="22"/>
      <c r="F26" s="533" t="str">
        <f>'Zdrojová data'!N9</f>
        <v>Koncová deska CBC 2,5-10mm², šedá</v>
      </c>
      <c r="G26" s="533"/>
      <c r="H26" s="533"/>
      <c r="I26" s="533"/>
      <c r="J26" s="13"/>
      <c r="K26" s="84"/>
      <c r="L26" s="76"/>
    </row>
    <row r="27" spans="2:12" ht="15.75" x14ac:dyDescent="0.25">
      <c r="B27" s="21"/>
      <c r="C27" s="208" t="str">
        <f>'Zdrojová data'!H10</f>
        <v>M270020---</v>
      </c>
      <c r="D27" s="86">
        <f>'Zdrojová data'!J10</f>
        <v>5</v>
      </c>
      <c r="E27" s="22"/>
      <c r="F27" s="533" t="str">
        <f>'Zdrojová data'!N10</f>
        <v>Vývodka M20x1,5 bez matice, 6-12 mm, RAL 7035</v>
      </c>
      <c r="G27" s="533"/>
      <c r="H27" s="533"/>
      <c r="I27" s="533"/>
      <c r="J27" s="13"/>
      <c r="K27" s="84"/>
      <c r="L27" s="76"/>
    </row>
    <row r="28" spans="2:12" ht="15.75" x14ac:dyDescent="0.25">
      <c r="B28" s="21"/>
      <c r="C28" s="208" t="str">
        <f>'Zdrojová data'!H11</f>
        <v>ISV10016--</v>
      </c>
      <c r="D28" s="86">
        <f>'Zdrojová data'!J11</f>
        <v>2</v>
      </c>
      <c r="E28" s="22"/>
      <c r="F28" s="533" t="str">
        <f>'Zdrojová data'!N11</f>
        <v>Pojistka 10x38, 16A, gPV</v>
      </c>
      <c r="G28" s="533"/>
      <c r="H28" s="533"/>
      <c r="I28" s="533"/>
      <c r="J28" s="13"/>
      <c r="K28" s="84"/>
      <c r="L28" s="76"/>
    </row>
    <row r="29" spans="2:12" ht="15.75" x14ac:dyDescent="0.25">
      <c r="B29" s="21"/>
      <c r="C29" s="208" t="str">
        <f>'Zdrojová data'!H12</f>
        <v>IS506122-A</v>
      </c>
      <c r="D29" s="86">
        <f>'Zdrojová data'!J12</f>
        <v>1</v>
      </c>
      <c r="E29" s="22"/>
      <c r="F29" s="533" t="str">
        <f>'Zdrojová data'!N12</f>
        <v>Pojistkový odpojovač 10x38mm, 2pólový, 25A, fotovoltaika</v>
      </c>
      <c r="G29" s="533"/>
      <c r="H29" s="533"/>
      <c r="I29" s="533"/>
      <c r="J29" s="13"/>
      <c r="K29" s="84"/>
      <c r="L29" s="76"/>
    </row>
    <row r="30" spans="2:12" ht="15.75" x14ac:dyDescent="0.25">
      <c r="B30" s="21"/>
      <c r="C30" s="208" t="str">
        <f>'Zdrojová data'!H13</f>
        <v>M271020---</v>
      </c>
      <c r="D30" s="86">
        <f>'Zdrojová data'!J13</f>
        <v>5</v>
      </c>
      <c r="E30" s="22"/>
      <c r="F30" s="533" t="str">
        <f>'Zdrojová data'!N13</f>
        <v>Matice M20X1.5</v>
      </c>
      <c r="G30" s="533"/>
      <c r="H30" s="533"/>
      <c r="I30" s="533"/>
      <c r="J30" s="13"/>
      <c r="K30" s="84"/>
      <c r="L30" s="76"/>
    </row>
    <row r="31" spans="2:12" ht="15.75" x14ac:dyDescent="0.25">
      <c r="B31" s="21"/>
      <c r="C31" s="208" t="str">
        <f>'Zdrojová data'!H14</f>
        <v>IK123000--</v>
      </c>
      <c r="D31" s="86">
        <f>'Zdrojová data'!J14</f>
        <v>2</v>
      </c>
      <c r="E31" s="22"/>
      <c r="F31" s="533" t="str">
        <f>'Zdrojová data'!N14</f>
        <v>Koncová svorka TS 35</v>
      </c>
      <c r="G31" s="533"/>
      <c r="H31" s="533"/>
      <c r="I31" s="533"/>
      <c r="J31" s="13"/>
      <c r="K31" s="84"/>
      <c r="L31" s="76"/>
    </row>
    <row r="32" spans="2:12" ht="15.75" x14ac:dyDescent="0.25">
      <c r="B32" s="21"/>
      <c r="C32" s="208" t="str">
        <f>'Zdrojová data'!H15</f>
        <v>CSFV023301</v>
      </c>
      <c r="D32" s="86">
        <f>'Zdrojová data'!J15</f>
        <v>1</v>
      </c>
      <c r="E32" s="22"/>
      <c r="F32" s="533" t="str">
        <f>'Zdrojová data'!N15</f>
        <v>Samolepka PV symbol na fotovoltaiku</v>
      </c>
      <c r="G32" s="533"/>
      <c r="H32" s="533"/>
      <c r="I32" s="533"/>
      <c r="J32" s="13"/>
      <c r="K32" s="84"/>
      <c r="L32" s="76"/>
    </row>
    <row r="33" spans="2:12" ht="15.75" x14ac:dyDescent="0.25">
      <c r="B33" s="21"/>
      <c r="C33" s="208">
        <f>'Zdrojová data'!H16</f>
        <v>0</v>
      </c>
      <c r="D33" s="86">
        <f>'Zdrojová data'!J16</f>
        <v>0</v>
      </c>
      <c r="E33" s="22"/>
      <c r="F33" s="533">
        <f>'Zdrojová data'!N16</f>
        <v>0</v>
      </c>
      <c r="G33" s="533"/>
      <c r="H33" s="533"/>
      <c r="I33" s="533"/>
      <c r="J33" s="13"/>
      <c r="K33" s="84"/>
      <c r="L33" s="76"/>
    </row>
    <row r="34" spans="2:12" ht="15.75" x14ac:dyDescent="0.25">
      <c r="B34" s="21"/>
      <c r="C34" s="208">
        <f>'Zdrojová data'!H17</f>
        <v>0</v>
      </c>
      <c r="D34" s="86">
        <f>'Zdrojová data'!J17</f>
        <v>0</v>
      </c>
      <c r="E34" s="22"/>
      <c r="F34" s="533">
        <f>'Zdrojová data'!N17</f>
        <v>0</v>
      </c>
      <c r="G34" s="533"/>
      <c r="H34" s="533"/>
      <c r="I34" s="533"/>
      <c r="J34" s="13"/>
      <c r="K34" s="84"/>
      <c r="L34" s="76"/>
    </row>
    <row r="35" spans="2:12" ht="15.75" x14ac:dyDescent="0.25">
      <c r="B35" s="21"/>
      <c r="C35" s="208">
        <f>'Zdrojová data'!H18</f>
        <v>0</v>
      </c>
      <c r="D35" s="86">
        <f>'Zdrojová data'!J18</f>
        <v>0</v>
      </c>
      <c r="E35" s="22"/>
      <c r="F35" s="533">
        <f>'Zdrojová data'!N18</f>
        <v>0</v>
      </c>
      <c r="G35" s="533"/>
      <c r="H35" s="533"/>
      <c r="I35" s="533"/>
      <c r="J35" s="13"/>
      <c r="K35" s="84"/>
      <c r="L35" s="76"/>
    </row>
    <row r="36" spans="2:12" ht="15.75" x14ac:dyDescent="0.25">
      <c r="B36" s="21"/>
      <c r="C36" s="208">
        <f>'Zdrojová data'!H19</f>
        <v>0</v>
      </c>
      <c r="D36" s="86">
        <f>'Zdrojová data'!J19</f>
        <v>0</v>
      </c>
      <c r="E36" s="22"/>
      <c r="F36" s="533">
        <f>'Zdrojová data'!N19</f>
        <v>0</v>
      </c>
      <c r="G36" s="533"/>
      <c r="H36" s="533"/>
      <c r="I36" s="533"/>
      <c r="J36" s="13"/>
      <c r="K36" s="84"/>
      <c r="L36" s="76"/>
    </row>
    <row r="37" spans="2:12" ht="15.75" x14ac:dyDescent="0.25">
      <c r="B37" s="21"/>
      <c r="C37" s="127"/>
      <c r="D37" s="128"/>
      <c r="E37" s="22"/>
      <c r="F37" s="533"/>
      <c r="G37" s="533"/>
      <c r="H37" s="533"/>
      <c r="I37" s="533"/>
      <c r="J37" s="13"/>
      <c r="K37" s="84"/>
      <c r="L37" s="76"/>
    </row>
    <row r="38" spans="2:12" ht="15.75" x14ac:dyDescent="0.25">
      <c r="B38" s="21"/>
      <c r="C38" s="127"/>
      <c r="D38" s="128"/>
      <c r="E38" s="22"/>
      <c r="F38" s="533"/>
      <c r="G38" s="533"/>
      <c r="H38" s="533"/>
      <c r="I38" s="533"/>
      <c r="J38" s="13"/>
      <c r="K38" s="84"/>
      <c r="L38" s="76"/>
    </row>
    <row r="39" spans="2:12" ht="15.75" x14ac:dyDescent="0.25">
      <c r="B39" s="21"/>
      <c r="C39" s="129"/>
      <c r="D39" s="128"/>
      <c r="E39" s="22"/>
      <c r="F39" s="533"/>
      <c r="G39" s="533"/>
      <c r="H39" s="533"/>
      <c r="I39" s="533"/>
      <c r="J39" s="13"/>
      <c r="K39" s="84"/>
      <c r="L39" s="76"/>
    </row>
    <row r="40" spans="2:12" ht="15.75" x14ac:dyDescent="0.25">
      <c r="B40" s="21"/>
      <c r="C40" s="129"/>
      <c r="D40" s="128"/>
      <c r="E40" s="22"/>
      <c r="F40" s="533"/>
      <c r="G40" s="533"/>
      <c r="H40" s="533"/>
      <c r="I40" s="533"/>
      <c r="J40" s="13"/>
      <c r="K40" s="84"/>
      <c r="L40" s="76"/>
    </row>
    <row r="41" spans="2:12" ht="15.75" x14ac:dyDescent="0.25">
      <c r="B41" s="21"/>
      <c r="C41" s="129"/>
      <c r="D41" s="128"/>
      <c r="E41" s="22"/>
      <c r="F41" s="533"/>
      <c r="G41" s="533"/>
      <c r="H41" s="533"/>
      <c r="I41" s="533"/>
      <c r="J41" s="13"/>
      <c r="K41" s="84"/>
      <c r="L41" s="76"/>
    </row>
    <row r="42" spans="2:12" ht="15.75" x14ac:dyDescent="0.25">
      <c r="B42" s="21"/>
      <c r="C42" s="129"/>
      <c r="D42" s="128"/>
      <c r="E42" s="22"/>
      <c r="F42" s="533"/>
      <c r="G42" s="533"/>
      <c r="H42" s="533"/>
      <c r="I42" s="533"/>
      <c r="J42" s="13"/>
      <c r="K42" s="84"/>
      <c r="L42" s="76"/>
    </row>
    <row r="43" spans="2:12" ht="15.75" x14ac:dyDescent="0.25">
      <c r="B43" s="21"/>
      <c r="C43" s="129"/>
      <c r="D43" s="128"/>
      <c r="E43" s="22"/>
      <c r="F43" s="533"/>
      <c r="G43" s="533"/>
      <c r="H43" s="533"/>
      <c r="I43" s="533"/>
      <c r="J43" s="13"/>
      <c r="K43" s="84"/>
      <c r="L43" s="76"/>
    </row>
    <row r="44" spans="2:12" ht="15.75" x14ac:dyDescent="0.25">
      <c r="B44" s="21"/>
      <c r="C44" s="129"/>
      <c r="D44" s="128"/>
      <c r="E44" s="22"/>
      <c r="F44" s="533"/>
      <c r="G44" s="533"/>
      <c r="H44" s="533"/>
      <c r="I44" s="533"/>
      <c r="J44" s="13"/>
      <c r="K44" s="84"/>
      <c r="L44" s="76"/>
    </row>
    <row r="45" spans="2:12" ht="15.75" x14ac:dyDescent="0.25">
      <c r="B45" s="21"/>
      <c r="C45" s="129"/>
      <c r="D45" s="128"/>
      <c r="E45" s="22"/>
      <c r="F45" s="533"/>
      <c r="G45" s="533"/>
      <c r="H45" s="533"/>
      <c r="I45" s="533"/>
      <c r="J45" s="13"/>
      <c r="K45" s="84"/>
      <c r="L45" s="76"/>
    </row>
    <row r="46" spans="2:12" ht="15.75" x14ac:dyDescent="0.25">
      <c r="B46" s="21"/>
      <c r="C46" s="129"/>
      <c r="D46" s="128"/>
      <c r="E46" s="22"/>
      <c r="F46" s="533"/>
      <c r="G46" s="533"/>
      <c r="H46" s="533"/>
      <c r="I46" s="533"/>
      <c r="J46" s="13"/>
      <c r="K46" s="84"/>
      <c r="L46" s="76"/>
    </row>
    <row r="47" spans="2:12" ht="15.75" x14ac:dyDescent="0.25">
      <c r="B47" s="21"/>
      <c r="C47" s="129"/>
      <c r="D47" s="128"/>
      <c r="E47" s="22"/>
      <c r="F47" s="533"/>
      <c r="G47" s="533"/>
      <c r="H47" s="533"/>
      <c r="I47" s="533"/>
      <c r="J47" s="13"/>
      <c r="K47" s="84"/>
      <c r="L47" s="76"/>
    </row>
    <row r="48" spans="2:12" ht="15.75" x14ac:dyDescent="0.25">
      <c r="B48" s="21"/>
      <c r="C48" s="129"/>
      <c r="D48" s="128"/>
      <c r="E48" s="22"/>
      <c r="F48" s="533"/>
      <c r="G48" s="533"/>
      <c r="H48" s="533"/>
      <c r="I48" s="533"/>
      <c r="J48" s="13"/>
      <c r="K48" s="84"/>
      <c r="L48" s="76"/>
    </row>
    <row r="49" spans="2:13" ht="15.75" x14ac:dyDescent="0.25">
      <c r="B49" s="21"/>
      <c r="C49" s="129"/>
      <c r="D49" s="128"/>
      <c r="E49" s="22"/>
      <c r="F49" s="533"/>
      <c r="G49" s="533"/>
      <c r="H49" s="533"/>
      <c r="I49" s="533"/>
      <c r="J49" s="13"/>
      <c r="K49" s="84"/>
      <c r="L49" s="76"/>
    </row>
    <row r="50" spans="2:13" ht="15.75" x14ac:dyDescent="0.25">
      <c r="B50" s="21"/>
      <c r="C50" s="129"/>
      <c r="D50" s="128"/>
      <c r="E50" s="22"/>
      <c r="F50" s="533"/>
      <c r="G50" s="533"/>
      <c r="H50" s="533"/>
      <c r="I50" s="533"/>
      <c r="J50" s="13"/>
      <c r="K50" s="84"/>
      <c r="L50" s="76"/>
    </row>
    <row r="51" spans="2:13" ht="15.75" x14ac:dyDescent="0.25">
      <c r="B51" s="21"/>
      <c r="C51" s="129"/>
      <c r="D51" s="128"/>
      <c r="E51" s="22"/>
      <c r="F51" s="533"/>
      <c r="G51" s="533"/>
      <c r="H51" s="533"/>
      <c r="I51" s="533"/>
      <c r="J51" s="13"/>
      <c r="K51" s="84"/>
      <c r="L51" s="76"/>
    </row>
    <row r="52" spans="2:13" ht="15.75" x14ac:dyDescent="0.25">
      <c r="B52" s="21"/>
      <c r="C52" s="129"/>
      <c r="D52" s="128"/>
      <c r="E52" s="22"/>
      <c r="F52" s="533"/>
      <c r="G52" s="533"/>
      <c r="H52" s="533"/>
      <c r="I52" s="533"/>
      <c r="J52" s="13"/>
      <c r="K52" s="84"/>
      <c r="L52" s="76"/>
    </row>
    <row r="53" spans="2:13" ht="15.75" x14ac:dyDescent="0.25">
      <c r="B53" s="21"/>
      <c r="C53" s="129"/>
      <c r="D53" s="128"/>
      <c r="E53" s="22"/>
      <c r="F53" s="533"/>
      <c r="G53" s="533"/>
      <c r="H53" s="533"/>
      <c r="I53" s="533"/>
      <c r="J53" s="13"/>
      <c r="K53" s="84"/>
      <c r="L53" s="76"/>
    </row>
    <row r="54" spans="2:13" ht="15.75" x14ac:dyDescent="0.25"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</row>
    <row r="55" spans="2:13" s="57" customFormat="1" ht="18.75" x14ac:dyDescent="0.3">
      <c r="B55" s="55"/>
      <c r="C55" s="55"/>
      <c r="K55" s="55"/>
      <c r="L55" s="55"/>
    </row>
    <row r="56" spans="2:13" s="57" customFormat="1" ht="18" customHeight="1" x14ac:dyDescent="0.3">
      <c r="B56" s="55"/>
      <c r="C56" s="550" t="s">
        <v>170</v>
      </c>
      <c r="D56" s="550"/>
      <c r="E56" s="551"/>
      <c r="F56" s="551"/>
      <c r="G56" s="130">
        <f>'Zdrojová data'!S7</f>
        <v>0.8</v>
      </c>
      <c r="H56" s="56"/>
      <c r="K56" s="55"/>
      <c r="L56" s="55"/>
    </row>
    <row r="57" spans="2:13" s="57" customFormat="1" ht="18" customHeight="1" x14ac:dyDescent="0.3">
      <c r="B57" s="55"/>
      <c r="C57" s="547"/>
      <c r="D57" s="547"/>
      <c r="E57" s="546"/>
      <c r="F57" s="546"/>
      <c r="G57" s="170"/>
      <c r="H57" s="58"/>
      <c r="J57" s="64"/>
      <c r="K57" s="64"/>
      <c r="L57" s="64"/>
      <c r="M57" s="64"/>
    </row>
    <row r="58" spans="2:13" s="57" customFormat="1" ht="18" customHeight="1" x14ac:dyDescent="0.3">
      <c r="B58" s="55"/>
      <c r="C58" s="547" t="s">
        <v>318</v>
      </c>
      <c r="D58" s="546"/>
      <c r="E58" s="546"/>
      <c r="F58" s="546"/>
      <c r="G58" s="169">
        <f>'Zdrojová data'!S9</f>
        <v>11</v>
      </c>
      <c r="H58" s="58" t="s">
        <v>92</v>
      </c>
      <c r="J58" s="64"/>
      <c r="K58" s="64"/>
      <c r="L58" s="64"/>
      <c r="M58" s="64"/>
    </row>
    <row r="59" spans="2:13" s="57" customFormat="1" ht="12" customHeight="1" x14ac:dyDescent="0.3">
      <c r="B59" s="55"/>
      <c r="C59" s="547"/>
      <c r="D59" s="546"/>
      <c r="E59" s="546"/>
      <c r="F59" s="546"/>
      <c r="G59" s="169"/>
      <c r="H59" s="58"/>
      <c r="J59" s="523" t="str">
        <f ca="1">IF(LEN(_xlfn.CONCAT(Zadání!F15:F18))&gt;0,"Nevyhovuje","Vybraná skříň a zařízení mohou být použity v této konfiguraci.")</f>
        <v>Vybraná skříň a zařízení mohou být použity v této konfiguraci.</v>
      </c>
      <c r="K59" s="524"/>
      <c r="L59" s="524"/>
      <c r="M59" s="525"/>
    </row>
    <row r="60" spans="2:13" s="57" customFormat="1" ht="18" customHeight="1" x14ac:dyDescent="0.3">
      <c r="B60" s="55"/>
      <c r="C60" s="547" t="s">
        <v>102</v>
      </c>
      <c r="D60" s="546"/>
      <c r="E60" s="546"/>
      <c r="F60" s="546"/>
      <c r="G60" s="204">
        <f>'Zdrojová data'!S11</f>
        <v>35</v>
      </c>
      <c r="H60" s="58" t="s">
        <v>96</v>
      </c>
      <c r="J60" s="526"/>
      <c r="K60" s="527"/>
      <c r="L60" s="527"/>
      <c r="M60" s="528"/>
    </row>
    <row r="61" spans="2:13" s="57" customFormat="1" ht="18" customHeight="1" x14ac:dyDescent="0.3">
      <c r="B61" s="55"/>
      <c r="C61" s="547" t="s">
        <v>95</v>
      </c>
      <c r="D61" s="546"/>
      <c r="E61" s="546"/>
      <c r="F61" s="546"/>
      <c r="G61" s="169">
        <f>'Zdrojová data'!S12</f>
        <v>60</v>
      </c>
      <c r="H61" s="58" t="s">
        <v>96</v>
      </c>
      <c r="J61" s="526"/>
      <c r="K61" s="527"/>
      <c r="L61" s="527"/>
      <c r="M61" s="528"/>
    </row>
    <row r="62" spans="2:13" s="57" customFormat="1" ht="12" customHeight="1" x14ac:dyDescent="0.3">
      <c r="B62" s="55"/>
      <c r="C62" s="547"/>
      <c r="D62" s="546"/>
      <c r="E62" s="546"/>
      <c r="F62" s="546"/>
      <c r="G62" s="169"/>
      <c r="H62" s="58"/>
      <c r="J62" s="526"/>
      <c r="K62" s="527"/>
      <c r="L62" s="527"/>
      <c r="M62" s="528"/>
    </row>
    <row r="63" spans="2:13" s="57" customFormat="1" ht="18" customHeight="1" x14ac:dyDescent="0.3">
      <c r="B63" s="55"/>
      <c r="C63" s="547" t="s">
        <v>97</v>
      </c>
      <c r="D63" s="546"/>
      <c r="E63" s="546"/>
      <c r="F63" s="546"/>
      <c r="G63" s="170">
        <f>'Zdrojová data'!S13</f>
        <v>1</v>
      </c>
      <c r="H63" s="58" t="s">
        <v>29</v>
      </c>
      <c r="J63" s="526"/>
      <c r="K63" s="527"/>
      <c r="L63" s="527"/>
      <c r="M63" s="528"/>
    </row>
    <row r="64" spans="2:13" s="57" customFormat="1" ht="18" customHeight="1" x14ac:dyDescent="0.3">
      <c r="B64" s="55"/>
      <c r="C64" s="548" t="s">
        <v>101</v>
      </c>
      <c r="D64" s="549"/>
      <c r="E64" s="549"/>
      <c r="F64" s="549"/>
      <c r="G64" s="131">
        <f>'Zdrojová data'!S14</f>
        <v>2.1</v>
      </c>
      <c r="H64" s="59" t="s">
        <v>29</v>
      </c>
      <c r="J64" s="529"/>
      <c r="K64" s="530"/>
      <c r="L64" s="530"/>
      <c r="M64" s="531"/>
    </row>
    <row r="65" spans="2:13" s="57" customFormat="1" ht="12" customHeight="1" x14ac:dyDescent="0.3">
      <c r="B65" s="55"/>
      <c r="C65" s="546"/>
      <c r="D65" s="546"/>
      <c r="E65" s="546"/>
      <c r="F65" s="546"/>
      <c r="G65" s="169"/>
      <c r="H65" s="82"/>
      <c r="J65" s="64"/>
      <c r="K65" s="64"/>
      <c r="L65" s="64"/>
      <c r="M65" s="64"/>
    </row>
    <row r="66" spans="2:13" s="57" customFormat="1" ht="18" customHeight="1" x14ac:dyDescent="0.3">
      <c r="B66" s="55"/>
      <c r="C66" s="546"/>
      <c r="D66" s="546"/>
      <c r="E66" s="546"/>
      <c r="F66" s="546"/>
      <c r="G66" s="170"/>
      <c r="H66" s="82"/>
      <c r="J66" s="64"/>
      <c r="K66" s="64"/>
      <c r="L66" s="64"/>
      <c r="M66" s="64"/>
    </row>
    <row r="67" spans="2:13" ht="18" customHeight="1" x14ac:dyDescent="0.3">
      <c r="B67" s="13"/>
      <c r="C67" s="546"/>
      <c r="D67" s="546"/>
      <c r="E67" s="546"/>
      <c r="F67" s="546"/>
      <c r="G67" s="169"/>
      <c r="H67" s="82"/>
      <c r="J67" s="64"/>
      <c r="K67" s="64"/>
      <c r="L67" s="64"/>
      <c r="M67" s="64"/>
    </row>
    <row r="68" spans="2:13" ht="14.45" customHeight="1" x14ac:dyDescent="0.25">
      <c r="B68" s="13"/>
      <c r="L68" s="13"/>
    </row>
    <row r="73" spans="2:13" ht="28.9" customHeight="1" x14ac:dyDescent="0.25"/>
    <row r="74" spans="2:13" ht="28.9" customHeight="1" x14ac:dyDescent="0.25"/>
  </sheetData>
  <sheetProtection algorithmName="SHA-512" hashValue="omA65hhY2M6tjbeC3kWSWyMFV1tSdjt03/av8IvltASNm5xw44KzVE7uWkBtDAxV01M4yvvrKFhxyz8n4l+Rwg==" saltValue="/jebECRDu6tuvcrFmOR5jg==" spinCount="100000" sheet="1" objects="1" scenarios="1"/>
  <mergeCells count="52">
    <mergeCell ref="F26:I26"/>
    <mergeCell ref="C62:F62"/>
    <mergeCell ref="C63:F63"/>
    <mergeCell ref="C65:F65"/>
    <mergeCell ref="F41:I41"/>
    <mergeCell ref="F42:I42"/>
    <mergeCell ref="F27:I27"/>
    <mergeCell ref="F28:I28"/>
    <mergeCell ref="F38:I38"/>
    <mergeCell ref="F39:I39"/>
    <mergeCell ref="F40:I40"/>
    <mergeCell ref="C67:F67"/>
    <mergeCell ref="C61:F61"/>
    <mergeCell ref="F50:I50"/>
    <mergeCell ref="F43:I43"/>
    <mergeCell ref="F44:I44"/>
    <mergeCell ref="F45:I45"/>
    <mergeCell ref="F51:I51"/>
    <mergeCell ref="C64:F64"/>
    <mergeCell ref="F52:I52"/>
    <mergeCell ref="F53:I53"/>
    <mergeCell ref="C56:F56"/>
    <mergeCell ref="C66:F66"/>
    <mergeCell ref="C57:F57"/>
    <mergeCell ref="C58:F58"/>
    <mergeCell ref="C59:F59"/>
    <mergeCell ref="C60:F60"/>
    <mergeCell ref="B5:N5"/>
    <mergeCell ref="F22:I22"/>
    <mergeCell ref="F23:I23"/>
    <mergeCell ref="F24:I24"/>
    <mergeCell ref="F25:I25"/>
    <mergeCell ref="J8:M12"/>
    <mergeCell ref="F8:H8"/>
    <mergeCell ref="F10:H10"/>
    <mergeCell ref="F12:H12"/>
    <mergeCell ref="J59:M64"/>
    <mergeCell ref="B1:C1"/>
    <mergeCell ref="F46:I46"/>
    <mergeCell ref="F47:I47"/>
    <mergeCell ref="F48:I48"/>
    <mergeCell ref="F49:I49"/>
    <mergeCell ref="F29:I29"/>
    <mergeCell ref="F30:I30"/>
    <mergeCell ref="F31:I31"/>
    <mergeCell ref="F32:I32"/>
    <mergeCell ref="F18:I18"/>
    <mergeCell ref="F33:I33"/>
    <mergeCell ref="F34:I34"/>
    <mergeCell ref="F35:I35"/>
    <mergeCell ref="F36:I36"/>
    <mergeCell ref="F37:I37"/>
  </mergeCells>
  <conditionalFormatting sqref="C20">
    <cfRule type="containsText" dxfId="10" priority="10" stopIfTrue="1" operator="containsText" text="Špatný tvar obj. čísla">
      <formula>NOT(ISERROR(SEARCH("Špatný tvar obj. čísla",C20)))</formula>
    </cfRule>
  </conditionalFormatting>
  <conditionalFormatting sqref="G60">
    <cfRule type="cellIs" dxfId="9" priority="4" stopIfTrue="1" operator="greaterThan">
      <formula>39.9</formula>
    </cfRule>
  </conditionalFormatting>
  <conditionalFormatting sqref="J59">
    <cfRule type="containsText" dxfId="8" priority="2" stopIfTrue="1" operator="containsText" text="Vybraná skříň a zařízení mohou být použity v této konfiguraci">
      <formula>NOT(ISERROR(SEARCH("Vybraná skříň a zařízení mohou být použity v této konfiguraci",J59)))</formula>
    </cfRule>
    <cfRule type="containsText" dxfId="7" priority="3" stopIfTrue="1" operator="containsText" text="Vybraná skřín NENÍ použitelná s vybranými zařízeními">
      <formula>NOT(ISERROR(SEARCH("Vybraná skřín NENÍ použitelná s vybranými zařízeními",J59)))</formula>
    </cfRule>
  </conditionalFormatting>
  <conditionalFormatting sqref="J59:M64">
    <cfRule type="containsText" dxfId="6" priority="1" operator="containsText" text="Nevyhovuje">
      <formula>NOT(ISERROR(SEARCH("Nevyhovuje",J59)))</formula>
    </cfRule>
  </conditionalFormatting>
  <pageMargins left="0.19685039370078741" right="0.19685039370078741" top="0.39370078740157483" bottom="0.39370078740157483" header="0" footer="0"/>
  <pageSetup paperSize="9" scale="65" fitToHeight="0" orientation="portrait" r:id="rId1"/>
  <headerFooter>
    <oddFooter>&amp;CVytvořeno pomocí SchrackNorm_PVA. Více informací na schracknorm@schrack.cz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4C55C-2D56-4806-9C87-D0DEF6B6C647}">
  <sheetPr codeName="List12">
    <tabColor rgb="FFFFFF00"/>
    <pageSetUpPr fitToPage="1"/>
  </sheetPr>
  <dimension ref="B1:R35"/>
  <sheetViews>
    <sheetView showGridLines="0" view="pageBreakPreview" zoomScaleNormal="100" zoomScaleSheetLayoutView="100" workbookViewId="0">
      <selection activeCell="B3" sqref="B3:R3"/>
    </sheetView>
  </sheetViews>
  <sheetFormatPr defaultColWidth="8.85546875" defaultRowHeight="15" x14ac:dyDescent="0.25"/>
  <cols>
    <col min="1" max="1" width="1.5703125" style="13" customWidth="1"/>
    <col min="2" max="2" width="17.140625" style="13" customWidth="1"/>
    <col min="3" max="3" width="3.5703125" style="13" customWidth="1"/>
    <col min="4" max="4" width="1.5703125" style="13" customWidth="1"/>
    <col min="5" max="5" width="6.28515625" style="13" customWidth="1"/>
    <col min="6" max="6" width="1.5703125" style="13" customWidth="1"/>
    <col min="7" max="7" width="2.42578125" style="13" customWidth="1"/>
    <col min="8" max="8" width="1.5703125" style="13" customWidth="1"/>
    <col min="9" max="9" width="9" style="13" customWidth="1"/>
    <col min="10" max="10" width="1.5703125" style="13" customWidth="1"/>
    <col min="11" max="11" width="15.7109375" style="13" customWidth="1"/>
    <col min="12" max="12" width="2.140625" style="13" customWidth="1"/>
    <col min="13" max="13" width="14.85546875" style="13" customWidth="1"/>
    <col min="14" max="14" width="4.5703125" style="13" customWidth="1"/>
    <col min="15" max="255" width="8.85546875" style="13"/>
    <col min="256" max="256" width="1.5703125" style="13" customWidth="1"/>
    <col min="257" max="257" width="8.85546875" style="13"/>
    <col min="258" max="258" width="3.5703125" style="13" customWidth="1"/>
    <col min="259" max="259" width="1.85546875" style="13" customWidth="1"/>
    <col min="260" max="260" width="6.28515625" style="13" customWidth="1"/>
    <col min="261" max="261" width="3.42578125" style="13" customWidth="1"/>
    <col min="262" max="262" width="1.7109375" style="13" customWidth="1"/>
    <col min="263" max="263" width="9.85546875" style="13" customWidth="1"/>
    <col min="264" max="264" width="1.85546875" style="13" customWidth="1"/>
    <col min="265" max="265" width="7.7109375" style="13" customWidth="1"/>
    <col min="266" max="266" width="2.140625" style="13" customWidth="1"/>
    <col min="267" max="270" width="4.5703125" style="13" customWidth="1"/>
    <col min="271" max="511" width="8.85546875" style="13"/>
    <col min="512" max="512" width="1.5703125" style="13" customWidth="1"/>
    <col min="513" max="513" width="8.85546875" style="13"/>
    <col min="514" max="514" width="3.5703125" style="13" customWidth="1"/>
    <col min="515" max="515" width="1.85546875" style="13" customWidth="1"/>
    <col min="516" max="516" width="6.28515625" style="13" customWidth="1"/>
    <col min="517" max="517" width="3.42578125" style="13" customWidth="1"/>
    <col min="518" max="518" width="1.7109375" style="13" customWidth="1"/>
    <col min="519" max="519" width="9.85546875" style="13" customWidth="1"/>
    <col min="520" max="520" width="1.85546875" style="13" customWidth="1"/>
    <col min="521" max="521" width="7.7109375" style="13" customWidth="1"/>
    <col min="522" max="522" width="2.140625" style="13" customWidth="1"/>
    <col min="523" max="526" width="4.5703125" style="13" customWidth="1"/>
    <col min="527" max="767" width="8.85546875" style="13"/>
    <col min="768" max="768" width="1.5703125" style="13" customWidth="1"/>
    <col min="769" max="769" width="8.85546875" style="13"/>
    <col min="770" max="770" width="3.5703125" style="13" customWidth="1"/>
    <col min="771" max="771" width="1.85546875" style="13" customWidth="1"/>
    <col min="772" max="772" width="6.28515625" style="13" customWidth="1"/>
    <col min="773" max="773" width="3.42578125" style="13" customWidth="1"/>
    <col min="774" max="774" width="1.7109375" style="13" customWidth="1"/>
    <col min="775" max="775" width="9.85546875" style="13" customWidth="1"/>
    <col min="776" max="776" width="1.85546875" style="13" customWidth="1"/>
    <col min="777" max="777" width="7.7109375" style="13" customWidth="1"/>
    <col min="778" max="778" width="2.140625" style="13" customWidth="1"/>
    <col min="779" max="782" width="4.5703125" style="13" customWidth="1"/>
    <col min="783" max="1023" width="8.85546875" style="13"/>
    <col min="1024" max="1024" width="1.5703125" style="13" customWidth="1"/>
    <col min="1025" max="1025" width="8.85546875" style="13"/>
    <col min="1026" max="1026" width="3.5703125" style="13" customWidth="1"/>
    <col min="1027" max="1027" width="1.85546875" style="13" customWidth="1"/>
    <col min="1028" max="1028" width="6.28515625" style="13" customWidth="1"/>
    <col min="1029" max="1029" width="3.42578125" style="13" customWidth="1"/>
    <col min="1030" max="1030" width="1.7109375" style="13" customWidth="1"/>
    <col min="1031" max="1031" width="9.85546875" style="13" customWidth="1"/>
    <col min="1032" max="1032" width="1.85546875" style="13" customWidth="1"/>
    <col min="1033" max="1033" width="7.7109375" style="13" customWidth="1"/>
    <col min="1034" max="1034" width="2.140625" style="13" customWidth="1"/>
    <col min="1035" max="1038" width="4.5703125" style="13" customWidth="1"/>
    <col min="1039" max="1279" width="8.85546875" style="13"/>
    <col min="1280" max="1280" width="1.5703125" style="13" customWidth="1"/>
    <col min="1281" max="1281" width="8.85546875" style="13"/>
    <col min="1282" max="1282" width="3.5703125" style="13" customWidth="1"/>
    <col min="1283" max="1283" width="1.85546875" style="13" customWidth="1"/>
    <col min="1284" max="1284" width="6.28515625" style="13" customWidth="1"/>
    <col min="1285" max="1285" width="3.42578125" style="13" customWidth="1"/>
    <col min="1286" max="1286" width="1.7109375" style="13" customWidth="1"/>
    <col min="1287" max="1287" width="9.85546875" style="13" customWidth="1"/>
    <col min="1288" max="1288" width="1.85546875" style="13" customWidth="1"/>
    <col min="1289" max="1289" width="7.7109375" style="13" customWidth="1"/>
    <col min="1290" max="1290" width="2.140625" style="13" customWidth="1"/>
    <col min="1291" max="1294" width="4.5703125" style="13" customWidth="1"/>
    <col min="1295" max="1535" width="8.85546875" style="13"/>
    <col min="1536" max="1536" width="1.5703125" style="13" customWidth="1"/>
    <col min="1537" max="1537" width="8.85546875" style="13"/>
    <col min="1538" max="1538" width="3.5703125" style="13" customWidth="1"/>
    <col min="1539" max="1539" width="1.85546875" style="13" customWidth="1"/>
    <col min="1540" max="1540" width="6.28515625" style="13" customWidth="1"/>
    <col min="1541" max="1541" width="3.42578125" style="13" customWidth="1"/>
    <col min="1542" max="1542" width="1.7109375" style="13" customWidth="1"/>
    <col min="1543" max="1543" width="9.85546875" style="13" customWidth="1"/>
    <col min="1544" max="1544" width="1.85546875" style="13" customWidth="1"/>
    <col min="1545" max="1545" width="7.7109375" style="13" customWidth="1"/>
    <col min="1546" max="1546" width="2.140625" style="13" customWidth="1"/>
    <col min="1547" max="1550" width="4.5703125" style="13" customWidth="1"/>
    <col min="1551" max="1791" width="8.85546875" style="13"/>
    <col min="1792" max="1792" width="1.5703125" style="13" customWidth="1"/>
    <col min="1793" max="1793" width="8.85546875" style="13"/>
    <col min="1794" max="1794" width="3.5703125" style="13" customWidth="1"/>
    <col min="1795" max="1795" width="1.85546875" style="13" customWidth="1"/>
    <col min="1796" max="1796" width="6.28515625" style="13" customWidth="1"/>
    <col min="1797" max="1797" width="3.42578125" style="13" customWidth="1"/>
    <col min="1798" max="1798" width="1.7109375" style="13" customWidth="1"/>
    <col min="1799" max="1799" width="9.85546875" style="13" customWidth="1"/>
    <col min="1800" max="1800" width="1.85546875" style="13" customWidth="1"/>
    <col min="1801" max="1801" width="7.7109375" style="13" customWidth="1"/>
    <col min="1802" max="1802" width="2.140625" style="13" customWidth="1"/>
    <col min="1803" max="1806" width="4.5703125" style="13" customWidth="1"/>
    <col min="1807" max="2047" width="8.85546875" style="13"/>
    <col min="2048" max="2048" width="1.5703125" style="13" customWidth="1"/>
    <col min="2049" max="2049" width="8.85546875" style="13"/>
    <col min="2050" max="2050" width="3.5703125" style="13" customWidth="1"/>
    <col min="2051" max="2051" width="1.85546875" style="13" customWidth="1"/>
    <col min="2052" max="2052" width="6.28515625" style="13" customWidth="1"/>
    <col min="2053" max="2053" width="3.42578125" style="13" customWidth="1"/>
    <col min="2054" max="2054" width="1.7109375" style="13" customWidth="1"/>
    <col min="2055" max="2055" width="9.85546875" style="13" customWidth="1"/>
    <col min="2056" max="2056" width="1.85546875" style="13" customWidth="1"/>
    <col min="2057" max="2057" width="7.7109375" style="13" customWidth="1"/>
    <col min="2058" max="2058" width="2.140625" style="13" customWidth="1"/>
    <col min="2059" max="2062" width="4.5703125" style="13" customWidth="1"/>
    <col min="2063" max="2303" width="8.85546875" style="13"/>
    <col min="2304" max="2304" width="1.5703125" style="13" customWidth="1"/>
    <col min="2305" max="2305" width="8.85546875" style="13"/>
    <col min="2306" max="2306" width="3.5703125" style="13" customWidth="1"/>
    <col min="2307" max="2307" width="1.85546875" style="13" customWidth="1"/>
    <col min="2308" max="2308" width="6.28515625" style="13" customWidth="1"/>
    <col min="2309" max="2309" width="3.42578125" style="13" customWidth="1"/>
    <col min="2310" max="2310" width="1.7109375" style="13" customWidth="1"/>
    <col min="2311" max="2311" width="9.85546875" style="13" customWidth="1"/>
    <col min="2312" max="2312" width="1.85546875" style="13" customWidth="1"/>
    <col min="2313" max="2313" width="7.7109375" style="13" customWidth="1"/>
    <col min="2314" max="2314" width="2.140625" style="13" customWidth="1"/>
    <col min="2315" max="2318" width="4.5703125" style="13" customWidth="1"/>
    <col min="2319" max="2559" width="8.85546875" style="13"/>
    <col min="2560" max="2560" width="1.5703125" style="13" customWidth="1"/>
    <col min="2561" max="2561" width="8.85546875" style="13"/>
    <col min="2562" max="2562" width="3.5703125" style="13" customWidth="1"/>
    <col min="2563" max="2563" width="1.85546875" style="13" customWidth="1"/>
    <col min="2564" max="2564" width="6.28515625" style="13" customWidth="1"/>
    <col min="2565" max="2565" width="3.42578125" style="13" customWidth="1"/>
    <col min="2566" max="2566" width="1.7109375" style="13" customWidth="1"/>
    <col min="2567" max="2567" width="9.85546875" style="13" customWidth="1"/>
    <col min="2568" max="2568" width="1.85546875" style="13" customWidth="1"/>
    <col min="2569" max="2569" width="7.7109375" style="13" customWidth="1"/>
    <col min="2570" max="2570" width="2.140625" style="13" customWidth="1"/>
    <col min="2571" max="2574" width="4.5703125" style="13" customWidth="1"/>
    <col min="2575" max="2815" width="8.85546875" style="13"/>
    <col min="2816" max="2816" width="1.5703125" style="13" customWidth="1"/>
    <col min="2817" max="2817" width="8.85546875" style="13"/>
    <col min="2818" max="2818" width="3.5703125" style="13" customWidth="1"/>
    <col min="2819" max="2819" width="1.85546875" style="13" customWidth="1"/>
    <col min="2820" max="2820" width="6.28515625" style="13" customWidth="1"/>
    <col min="2821" max="2821" width="3.42578125" style="13" customWidth="1"/>
    <col min="2822" max="2822" width="1.7109375" style="13" customWidth="1"/>
    <col min="2823" max="2823" width="9.85546875" style="13" customWidth="1"/>
    <col min="2824" max="2824" width="1.85546875" style="13" customWidth="1"/>
    <col min="2825" max="2825" width="7.7109375" style="13" customWidth="1"/>
    <col min="2826" max="2826" width="2.140625" style="13" customWidth="1"/>
    <col min="2827" max="2830" width="4.5703125" style="13" customWidth="1"/>
    <col min="2831" max="3071" width="8.85546875" style="13"/>
    <col min="3072" max="3072" width="1.5703125" style="13" customWidth="1"/>
    <col min="3073" max="3073" width="8.85546875" style="13"/>
    <col min="3074" max="3074" width="3.5703125" style="13" customWidth="1"/>
    <col min="3075" max="3075" width="1.85546875" style="13" customWidth="1"/>
    <col min="3076" max="3076" width="6.28515625" style="13" customWidth="1"/>
    <col min="3077" max="3077" width="3.42578125" style="13" customWidth="1"/>
    <col min="3078" max="3078" width="1.7109375" style="13" customWidth="1"/>
    <col min="3079" max="3079" width="9.85546875" style="13" customWidth="1"/>
    <col min="3080" max="3080" width="1.85546875" style="13" customWidth="1"/>
    <col min="3081" max="3081" width="7.7109375" style="13" customWidth="1"/>
    <col min="3082" max="3082" width="2.140625" style="13" customWidth="1"/>
    <col min="3083" max="3086" width="4.5703125" style="13" customWidth="1"/>
    <col min="3087" max="3327" width="8.85546875" style="13"/>
    <col min="3328" max="3328" width="1.5703125" style="13" customWidth="1"/>
    <col min="3329" max="3329" width="8.85546875" style="13"/>
    <col min="3330" max="3330" width="3.5703125" style="13" customWidth="1"/>
    <col min="3331" max="3331" width="1.85546875" style="13" customWidth="1"/>
    <col min="3332" max="3332" width="6.28515625" style="13" customWidth="1"/>
    <col min="3333" max="3333" width="3.42578125" style="13" customWidth="1"/>
    <col min="3334" max="3334" width="1.7109375" style="13" customWidth="1"/>
    <col min="3335" max="3335" width="9.85546875" style="13" customWidth="1"/>
    <col min="3336" max="3336" width="1.85546875" style="13" customWidth="1"/>
    <col min="3337" max="3337" width="7.7109375" style="13" customWidth="1"/>
    <col min="3338" max="3338" width="2.140625" style="13" customWidth="1"/>
    <col min="3339" max="3342" width="4.5703125" style="13" customWidth="1"/>
    <col min="3343" max="3583" width="8.85546875" style="13"/>
    <col min="3584" max="3584" width="1.5703125" style="13" customWidth="1"/>
    <col min="3585" max="3585" width="8.85546875" style="13"/>
    <col min="3586" max="3586" width="3.5703125" style="13" customWidth="1"/>
    <col min="3587" max="3587" width="1.85546875" style="13" customWidth="1"/>
    <col min="3588" max="3588" width="6.28515625" style="13" customWidth="1"/>
    <col min="3589" max="3589" width="3.42578125" style="13" customWidth="1"/>
    <col min="3590" max="3590" width="1.7109375" style="13" customWidth="1"/>
    <col min="3591" max="3591" width="9.85546875" style="13" customWidth="1"/>
    <col min="3592" max="3592" width="1.85546875" style="13" customWidth="1"/>
    <col min="3593" max="3593" width="7.7109375" style="13" customWidth="1"/>
    <col min="3594" max="3594" width="2.140625" style="13" customWidth="1"/>
    <col min="3595" max="3598" width="4.5703125" style="13" customWidth="1"/>
    <col min="3599" max="3839" width="8.85546875" style="13"/>
    <col min="3840" max="3840" width="1.5703125" style="13" customWidth="1"/>
    <col min="3841" max="3841" width="8.85546875" style="13"/>
    <col min="3842" max="3842" width="3.5703125" style="13" customWidth="1"/>
    <col min="3843" max="3843" width="1.85546875" style="13" customWidth="1"/>
    <col min="3844" max="3844" width="6.28515625" style="13" customWidth="1"/>
    <col min="3845" max="3845" width="3.42578125" style="13" customWidth="1"/>
    <col min="3846" max="3846" width="1.7109375" style="13" customWidth="1"/>
    <col min="3847" max="3847" width="9.85546875" style="13" customWidth="1"/>
    <col min="3848" max="3848" width="1.85546875" style="13" customWidth="1"/>
    <col min="3849" max="3849" width="7.7109375" style="13" customWidth="1"/>
    <col min="3850" max="3850" width="2.140625" style="13" customWidth="1"/>
    <col min="3851" max="3854" width="4.5703125" style="13" customWidth="1"/>
    <col min="3855" max="4095" width="8.85546875" style="13"/>
    <col min="4096" max="4096" width="1.5703125" style="13" customWidth="1"/>
    <col min="4097" max="4097" width="8.85546875" style="13"/>
    <col min="4098" max="4098" width="3.5703125" style="13" customWidth="1"/>
    <col min="4099" max="4099" width="1.85546875" style="13" customWidth="1"/>
    <col min="4100" max="4100" width="6.28515625" style="13" customWidth="1"/>
    <col min="4101" max="4101" width="3.42578125" style="13" customWidth="1"/>
    <col min="4102" max="4102" width="1.7109375" style="13" customWidth="1"/>
    <col min="4103" max="4103" width="9.85546875" style="13" customWidth="1"/>
    <col min="4104" max="4104" width="1.85546875" style="13" customWidth="1"/>
    <col min="4105" max="4105" width="7.7109375" style="13" customWidth="1"/>
    <col min="4106" max="4106" width="2.140625" style="13" customWidth="1"/>
    <col min="4107" max="4110" width="4.5703125" style="13" customWidth="1"/>
    <col min="4111" max="4351" width="8.85546875" style="13"/>
    <col min="4352" max="4352" width="1.5703125" style="13" customWidth="1"/>
    <col min="4353" max="4353" width="8.85546875" style="13"/>
    <col min="4354" max="4354" width="3.5703125" style="13" customWidth="1"/>
    <col min="4355" max="4355" width="1.85546875" style="13" customWidth="1"/>
    <col min="4356" max="4356" width="6.28515625" style="13" customWidth="1"/>
    <col min="4357" max="4357" width="3.42578125" style="13" customWidth="1"/>
    <col min="4358" max="4358" width="1.7109375" style="13" customWidth="1"/>
    <col min="4359" max="4359" width="9.85546875" style="13" customWidth="1"/>
    <col min="4360" max="4360" width="1.85546875" style="13" customWidth="1"/>
    <col min="4361" max="4361" width="7.7109375" style="13" customWidth="1"/>
    <col min="4362" max="4362" width="2.140625" style="13" customWidth="1"/>
    <col min="4363" max="4366" width="4.5703125" style="13" customWidth="1"/>
    <col min="4367" max="4607" width="8.85546875" style="13"/>
    <col min="4608" max="4608" width="1.5703125" style="13" customWidth="1"/>
    <col min="4609" max="4609" width="8.85546875" style="13"/>
    <col min="4610" max="4610" width="3.5703125" style="13" customWidth="1"/>
    <col min="4611" max="4611" width="1.85546875" style="13" customWidth="1"/>
    <col min="4612" max="4612" width="6.28515625" style="13" customWidth="1"/>
    <col min="4613" max="4613" width="3.42578125" style="13" customWidth="1"/>
    <col min="4614" max="4614" width="1.7109375" style="13" customWidth="1"/>
    <col min="4615" max="4615" width="9.85546875" style="13" customWidth="1"/>
    <col min="4616" max="4616" width="1.85546875" style="13" customWidth="1"/>
    <col min="4617" max="4617" width="7.7109375" style="13" customWidth="1"/>
    <col min="4618" max="4618" width="2.140625" style="13" customWidth="1"/>
    <col min="4619" max="4622" width="4.5703125" style="13" customWidth="1"/>
    <col min="4623" max="4863" width="8.85546875" style="13"/>
    <col min="4864" max="4864" width="1.5703125" style="13" customWidth="1"/>
    <col min="4865" max="4865" width="8.85546875" style="13"/>
    <col min="4866" max="4866" width="3.5703125" style="13" customWidth="1"/>
    <col min="4867" max="4867" width="1.85546875" style="13" customWidth="1"/>
    <col min="4868" max="4868" width="6.28515625" style="13" customWidth="1"/>
    <col min="4869" max="4869" width="3.42578125" style="13" customWidth="1"/>
    <col min="4870" max="4870" width="1.7109375" style="13" customWidth="1"/>
    <col min="4871" max="4871" width="9.85546875" style="13" customWidth="1"/>
    <col min="4872" max="4872" width="1.85546875" style="13" customWidth="1"/>
    <col min="4873" max="4873" width="7.7109375" style="13" customWidth="1"/>
    <col min="4874" max="4874" width="2.140625" style="13" customWidth="1"/>
    <col min="4875" max="4878" width="4.5703125" style="13" customWidth="1"/>
    <col min="4879" max="5119" width="8.85546875" style="13"/>
    <col min="5120" max="5120" width="1.5703125" style="13" customWidth="1"/>
    <col min="5121" max="5121" width="8.85546875" style="13"/>
    <col min="5122" max="5122" width="3.5703125" style="13" customWidth="1"/>
    <col min="5123" max="5123" width="1.85546875" style="13" customWidth="1"/>
    <col min="5124" max="5124" width="6.28515625" style="13" customWidth="1"/>
    <col min="5125" max="5125" width="3.42578125" style="13" customWidth="1"/>
    <col min="5126" max="5126" width="1.7109375" style="13" customWidth="1"/>
    <col min="5127" max="5127" width="9.85546875" style="13" customWidth="1"/>
    <col min="5128" max="5128" width="1.85546875" style="13" customWidth="1"/>
    <col min="5129" max="5129" width="7.7109375" style="13" customWidth="1"/>
    <col min="5130" max="5130" width="2.140625" style="13" customWidth="1"/>
    <col min="5131" max="5134" width="4.5703125" style="13" customWidth="1"/>
    <col min="5135" max="5375" width="8.85546875" style="13"/>
    <col min="5376" max="5376" width="1.5703125" style="13" customWidth="1"/>
    <col min="5377" max="5377" width="8.85546875" style="13"/>
    <col min="5378" max="5378" width="3.5703125" style="13" customWidth="1"/>
    <col min="5379" max="5379" width="1.85546875" style="13" customWidth="1"/>
    <col min="5380" max="5380" width="6.28515625" style="13" customWidth="1"/>
    <col min="5381" max="5381" width="3.42578125" style="13" customWidth="1"/>
    <col min="5382" max="5382" width="1.7109375" style="13" customWidth="1"/>
    <col min="5383" max="5383" width="9.85546875" style="13" customWidth="1"/>
    <col min="5384" max="5384" width="1.85546875" style="13" customWidth="1"/>
    <col min="5385" max="5385" width="7.7109375" style="13" customWidth="1"/>
    <col min="5386" max="5386" width="2.140625" style="13" customWidth="1"/>
    <col min="5387" max="5390" width="4.5703125" style="13" customWidth="1"/>
    <col min="5391" max="5631" width="8.85546875" style="13"/>
    <col min="5632" max="5632" width="1.5703125" style="13" customWidth="1"/>
    <col min="5633" max="5633" width="8.85546875" style="13"/>
    <col min="5634" max="5634" width="3.5703125" style="13" customWidth="1"/>
    <col min="5635" max="5635" width="1.85546875" style="13" customWidth="1"/>
    <col min="5636" max="5636" width="6.28515625" style="13" customWidth="1"/>
    <col min="5637" max="5637" width="3.42578125" style="13" customWidth="1"/>
    <col min="5638" max="5638" width="1.7109375" style="13" customWidth="1"/>
    <col min="5639" max="5639" width="9.85546875" style="13" customWidth="1"/>
    <col min="5640" max="5640" width="1.85546875" style="13" customWidth="1"/>
    <col min="5641" max="5641" width="7.7109375" style="13" customWidth="1"/>
    <col min="5642" max="5642" width="2.140625" style="13" customWidth="1"/>
    <col min="5643" max="5646" width="4.5703125" style="13" customWidth="1"/>
    <col min="5647" max="5887" width="8.85546875" style="13"/>
    <col min="5888" max="5888" width="1.5703125" style="13" customWidth="1"/>
    <col min="5889" max="5889" width="8.85546875" style="13"/>
    <col min="5890" max="5890" width="3.5703125" style="13" customWidth="1"/>
    <col min="5891" max="5891" width="1.85546875" style="13" customWidth="1"/>
    <col min="5892" max="5892" width="6.28515625" style="13" customWidth="1"/>
    <col min="5893" max="5893" width="3.42578125" style="13" customWidth="1"/>
    <col min="5894" max="5894" width="1.7109375" style="13" customWidth="1"/>
    <col min="5895" max="5895" width="9.85546875" style="13" customWidth="1"/>
    <col min="5896" max="5896" width="1.85546875" style="13" customWidth="1"/>
    <col min="5897" max="5897" width="7.7109375" style="13" customWidth="1"/>
    <col min="5898" max="5898" width="2.140625" style="13" customWidth="1"/>
    <col min="5899" max="5902" width="4.5703125" style="13" customWidth="1"/>
    <col min="5903" max="6143" width="8.85546875" style="13"/>
    <col min="6144" max="6144" width="1.5703125" style="13" customWidth="1"/>
    <col min="6145" max="6145" width="8.85546875" style="13"/>
    <col min="6146" max="6146" width="3.5703125" style="13" customWidth="1"/>
    <col min="6147" max="6147" width="1.85546875" style="13" customWidth="1"/>
    <col min="6148" max="6148" width="6.28515625" style="13" customWidth="1"/>
    <col min="6149" max="6149" width="3.42578125" style="13" customWidth="1"/>
    <col min="6150" max="6150" width="1.7109375" style="13" customWidth="1"/>
    <col min="6151" max="6151" width="9.85546875" style="13" customWidth="1"/>
    <col min="6152" max="6152" width="1.85546875" style="13" customWidth="1"/>
    <col min="6153" max="6153" width="7.7109375" style="13" customWidth="1"/>
    <col min="6154" max="6154" width="2.140625" style="13" customWidth="1"/>
    <col min="6155" max="6158" width="4.5703125" style="13" customWidth="1"/>
    <col min="6159" max="6399" width="8.85546875" style="13"/>
    <col min="6400" max="6400" width="1.5703125" style="13" customWidth="1"/>
    <col min="6401" max="6401" width="8.85546875" style="13"/>
    <col min="6402" max="6402" width="3.5703125" style="13" customWidth="1"/>
    <col min="6403" max="6403" width="1.85546875" style="13" customWidth="1"/>
    <col min="6404" max="6404" width="6.28515625" style="13" customWidth="1"/>
    <col min="6405" max="6405" width="3.42578125" style="13" customWidth="1"/>
    <col min="6406" max="6406" width="1.7109375" style="13" customWidth="1"/>
    <col min="6407" max="6407" width="9.85546875" style="13" customWidth="1"/>
    <col min="6408" max="6408" width="1.85546875" style="13" customWidth="1"/>
    <col min="6409" max="6409" width="7.7109375" style="13" customWidth="1"/>
    <col min="6410" max="6410" width="2.140625" style="13" customWidth="1"/>
    <col min="6411" max="6414" width="4.5703125" style="13" customWidth="1"/>
    <col min="6415" max="6655" width="8.85546875" style="13"/>
    <col min="6656" max="6656" width="1.5703125" style="13" customWidth="1"/>
    <col min="6657" max="6657" width="8.85546875" style="13"/>
    <col min="6658" max="6658" width="3.5703125" style="13" customWidth="1"/>
    <col min="6659" max="6659" width="1.85546875" style="13" customWidth="1"/>
    <col min="6660" max="6660" width="6.28515625" style="13" customWidth="1"/>
    <col min="6661" max="6661" width="3.42578125" style="13" customWidth="1"/>
    <col min="6662" max="6662" width="1.7109375" style="13" customWidth="1"/>
    <col min="6663" max="6663" width="9.85546875" style="13" customWidth="1"/>
    <col min="6664" max="6664" width="1.85546875" style="13" customWidth="1"/>
    <col min="6665" max="6665" width="7.7109375" style="13" customWidth="1"/>
    <col min="6666" max="6666" width="2.140625" style="13" customWidth="1"/>
    <col min="6667" max="6670" width="4.5703125" style="13" customWidth="1"/>
    <col min="6671" max="6911" width="8.85546875" style="13"/>
    <col min="6912" max="6912" width="1.5703125" style="13" customWidth="1"/>
    <col min="6913" max="6913" width="8.85546875" style="13"/>
    <col min="6914" max="6914" width="3.5703125" style="13" customWidth="1"/>
    <col min="6915" max="6915" width="1.85546875" style="13" customWidth="1"/>
    <col min="6916" max="6916" width="6.28515625" style="13" customWidth="1"/>
    <col min="6917" max="6917" width="3.42578125" style="13" customWidth="1"/>
    <col min="6918" max="6918" width="1.7109375" style="13" customWidth="1"/>
    <col min="6919" max="6919" width="9.85546875" style="13" customWidth="1"/>
    <col min="6920" max="6920" width="1.85546875" style="13" customWidth="1"/>
    <col min="6921" max="6921" width="7.7109375" style="13" customWidth="1"/>
    <col min="6922" max="6922" width="2.140625" style="13" customWidth="1"/>
    <col min="6923" max="6926" width="4.5703125" style="13" customWidth="1"/>
    <col min="6927" max="7167" width="8.85546875" style="13"/>
    <col min="7168" max="7168" width="1.5703125" style="13" customWidth="1"/>
    <col min="7169" max="7169" width="8.85546875" style="13"/>
    <col min="7170" max="7170" width="3.5703125" style="13" customWidth="1"/>
    <col min="7171" max="7171" width="1.85546875" style="13" customWidth="1"/>
    <col min="7172" max="7172" width="6.28515625" style="13" customWidth="1"/>
    <col min="7173" max="7173" width="3.42578125" style="13" customWidth="1"/>
    <col min="7174" max="7174" width="1.7109375" style="13" customWidth="1"/>
    <col min="7175" max="7175" width="9.85546875" style="13" customWidth="1"/>
    <col min="7176" max="7176" width="1.85546875" style="13" customWidth="1"/>
    <col min="7177" max="7177" width="7.7109375" style="13" customWidth="1"/>
    <col min="7178" max="7178" width="2.140625" style="13" customWidth="1"/>
    <col min="7179" max="7182" width="4.5703125" style="13" customWidth="1"/>
    <col min="7183" max="7423" width="8.85546875" style="13"/>
    <col min="7424" max="7424" width="1.5703125" style="13" customWidth="1"/>
    <col min="7425" max="7425" width="8.85546875" style="13"/>
    <col min="7426" max="7426" width="3.5703125" style="13" customWidth="1"/>
    <col min="7427" max="7427" width="1.85546875" style="13" customWidth="1"/>
    <col min="7428" max="7428" width="6.28515625" style="13" customWidth="1"/>
    <col min="7429" max="7429" width="3.42578125" style="13" customWidth="1"/>
    <col min="7430" max="7430" width="1.7109375" style="13" customWidth="1"/>
    <col min="7431" max="7431" width="9.85546875" style="13" customWidth="1"/>
    <col min="7432" max="7432" width="1.85546875" style="13" customWidth="1"/>
    <col min="7433" max="7433" width="7.7109375" style="13" customWidth="1"/>
    <col min="7434" max="7434" width="2.140625" style="13" customWidth="1"/>
    <col min="7435" max="7438" width="4.5703125" style="13" customWidth="1"/>
    <col min="7439" max="7679" width="8.85546875" style="13"/>
    <col min="7680" max="7680" width="1.5703125" style="13" customWidth="1"/>
    <col min="7681" max="7681" width="8.85546875" style="13"/>
    <col min="7682" max="7682" width="3.5703125" style="13" customWidth="1"/>
    <col min="7683" max="7683" width="1.85546875" style="13" customWidth="1"/>
    <col min="7684" max="7684" width="6.28515625" style="13" customWidth="1"/>
    <col min="7685" max="7685" width="3.42578125" style="13" customWidth="1"/>
    <col min="7686" max="7686" width="1.7109375" style="13" customWidth="1"/>
    <col min="7687" max="7687" width="9.85546875" style="13" customWidth="1"/>
    <col min="7688" max="7688" width="1.85546875" style="13" customWidth="1"/>
    <col min="7689" max="7689" width="7.7109375" style="13" customWidth="1"/>
    <col min="7690" max="7690" width="2.140625" style="13" customWidth="1"/>
    <col min="7691" max="7694" width="4.5703125" style="13" customWidth="1"/>
    <col min="7695" max="7935" width="8.85546875" style="13"/>
    <col min="7936" max="7936" width="1.5703125" style="13" customWidth="1"/>
    <col min="7937" max="7937" width="8.85546875" style="13"/>
    <col min="7938" max="7938" width="3.5703125" style="13" customWidth="1"/>
    <col min="7939" max="7939" width="1.85546875" style="13" customWidth="1"/>
    <col min="7940" max="7940" width="6.28515625" style="13" customWidth="1"/>
    <col min="7941" max="7941" width="3.42578125" style="13" customWidth="1"/>
    <col min="7942" max="7942" width="1.7109375" style="13" customWidth="1"/>
    <col min="7943" max="7943" width="9.85546875" style="13" customWidth="1"/>
    <col min="7944" max="7944" width="1.85546875" style="13" customWidth="1"/>
    <col min="7945" max="7945" width="7.7109375" style="13" customWidth="1"/>
    <col min="7946" max="7946" width="2.140625" style="13" customWidth="1"/>
    <col min="7947" max="7950" width="4.5703125" style="13" customWidth="1"/>
    <col min="7951" max="8191" width="8.85546875" style="13"/>
    <col min="8192" max="8192" width="1.5703125" style="13" customWidth="1"/>
    <col min="8193" max="8193" width="8.85546875" style="13"/>
    <col min="8194" max="8194" width="3.5703125" style="13" customWidth="1"/>
    <col min="8195" max="8195" width="1.85546875" style="13" customWidth="1"/>
    <col min="8196" max="8196" width="6.28515625" style="13" customWidth="1"/>
    <col min="8197" max="8197" width="3.42578125" style="13" customWidth="1"/>
    <col min="8198" max="8198" width="1.7109375" style="13" customWidth="1"/>
    <col min="8199" max="8199" width="9.85546875" style="13" customWidth="1"/>
    <col min="8200" max="8200" width="1.85546875" style="13" customWidth="1"/>
    <col min="8201" max="8201" width="7.7109375" style="13" customWidth="1"/>
    <col min="8202" max="8202" width="2.140625" style="13" customWidth="1"/>
    <col min="8203" max="8206" width="4.5703125" style="13" customWidth="1"/>
    <col min="8207" max="8447" width="8.85546875" style="13"/>
    <col min="8448" max="8448" width="1.5703125" style="13" customWidth="1"/>
    <col min="8449" max="8449" width="8.85546875" style="13"/>
    <col min="8450" max="8450" width="3.5703125" style="13" customWidth="1"/>
    <col min="8451" max="8451" width="1.85546875" style="13" customWidth="1"/>
    <col min="8452" max="8452" width="6.28515625" style="13" customWidth="1"/>
    <col min="8453" max="8453" width="3.42578125" style="13" customWidth="1"/>
    <col min="8454" max="8454" width="1.7109375" style="13" customWidth="1"/>
    <col min="8455" max="8455" width="9.85546875" style="13" customWidth="1"/>
    <col min="8456" max="8456" width="1.85546875" style="13" customWidth="1"/>
    <col min="8457" max="8457" width="7.7109375" style="13" customWidth="1"/>
    <col min="8458" max="8458" width="2.140625" style="13" customWidth="1"/>
    <col min="8459" max="8462" width="4.5703125" style="13" customWidth="1"/>
    <col min="8463" max="8703" width="8.85546875" style="13"/>
    <col min="8704" max="8704" width="1.5703125" style="13" customWidth="1"/>
    <col min="8705" max="8705" width="8.85546875" style="13"/>
    <col min="8706" max="8706" width="3.5703125" style="13" customWidth="1"/>
    <col min="8707" max="8707" width="1.85546875" style="13" customWidth="1"/>
    <col min="8708" max="8708" width="6.28515625" style="13" customWidth="1"/>
    <col min="8709" max="8709" width="3.42578125" style="13" customWidth="1"/>
    <col min="8710" max="8710" width="1.7109375" style="13" customWidth="1"/>
    <col min="8711" max="8711" width="9.85546875" style="13" customWidth="1"/>
    <col min="8712" max="8712" width="1.85546875" style="13" customWidth="1"/>
    <col min="8713" max="8713" width="7.7109375" style="13" customWidth="1"/>
    <col min="8714" max="8714" width="2.140625" style="13" customWidth="1"/>
    <col min="8715" max="8718" width="4.5703125" style="13" customWidth="1"/>
    <col min="8719" max="8959" width="8.85546875" style="13"/>
    <col min="8960" max="8960" width="1.5703125" style="13" customWidth="1"/>
    <col min="8961" max="8961" width="8.85546875" style="13"/>
    <col min="8962" max="8962" width="3.5703125" style="13" customWidth="1"/>
    <col min="8963" max="8963" width="1.85546875" style="13" customWidth="1"/>
    <col min="8964" max="8964" width="6.28515625" style="13" customWidth="1"/>
    <col min="8965" max="8965" width="3.42578125" style="13" customWidth="1"/>
    <col min="8966" max="8966" width="1.7109375" style="13" customWidth="1"/>
    <col min="8967" max="8967" width="9.85546875" style="13" customWidth="1"/>
    <col min="8968" max="8968" width="1.85546875" style="13" customWidth="1"/>
    <col min="8969" max="8969" width="7.7109375" style="13" customWidth="1"/>
    <col min="8970" max="8970" width="2.140625" style="13" customWidth="1"/>
    <col min="8971" max="8974" width="4.5703125" style="13" customWidth="1"/>
    <col min="8975" max="9215" width="8.85546875" style="13"/>
    <col min="9216" max="9216" width="1.5703125" style="13" customWidth="1"/>
    <col min="9217" max="9217" width="8.85546875" style="13"/>
    <col min="9218" max="9218" width="3.5703125" style="13" customWidth="1"/>
    <col min="9219" max="9219" width="1.85546875" style="13" customWidth="1"/>
    <col min="9220" max="9220" width="6.28515625" style="13" customWidth="1"/>
    <col min="9221" max="9221" width="3.42578125" style="13" customWidth="1"/>
    <col min="9222" max="9222" width="1.7109375" style="13" customWidth="1"/>
    <col min="9223" max="9223" width="9.85546875" style="13" customWidth="1"/>
    <col min="9224" max="9224" width="1.85546875" style="13" customWidth="1"/>
    <col min="9225" max="9225" width="7.7109375" style="13" customWidth="1"/>
    <col min="9226" max="9226" width="2.140625" style="13" customWidth="1"/>
    <col min="9227" max="9230" width="4.5703125" style="13" customWidth="1"/>
    <col min="9231" max="9471" width="8.85546875" style="13"/>
    <col min="9472" max="9472" width="1.5703125" style="13" customWidth="1"/>
    <col min="9473" max="9473" width="8.85546875" style="13"/>
    <col min="9474" max="9474" width="3.5703125" style="13" customWidth="1"/>
    <col min="9475" max="9475" width="1.85546875" style="13" customWidth="1"/>
    <col min="9476" max="9476" width="6.28515625" style="13" customWidth="1"/>
    <col min="9477" max="9477" width="3.42578125" style="13" customWidth="1"/>
    <col min="9478" max="9478" width="1.7109375" style="13" customWidth="1"/>
    <col min="9479" max="9479" width="9.85546875" style="13" customWidth="1"/>
    <col min="9480" max="9480" width="1.85546875" style="13" customWidth="1"/>
    <col min="9481" max="9481" width="7.7109375" style="13" customWidth="1"/>
    <col min="9482" max="9482" width="2.140625" style="13" customWidth="1"/>
    <col min="9483" max="9486" width="4.5703125" style="13" customWidth="1"/>
    <col min="9487" max="9727" width="8.85546875" style="13"/>
    <col min="9728" max="9728" width="1.5703125" style="13" customWidth="1"/>
    <col min="9729" max="9729" width="8.85546875" style="13"/>
    <col min="9730" max="9730" width="3.5703125" style="13" customWidth="1"/>
    <col min="9731" max="9731" width="1.85546875" style="13" customWidth="1"/>
    <col min="9732" max="9732" width="6.28515625" style="13" customWidth="1"/>
    <col min="9733" max="9733" width="3.42578125" style="13" customWidth="1"/>
    <col min="9734" max="9734" width="1.7109375" style="13" customWidth="1"/>
    <col min="9735" max="9735" width="9.85546875" style="13" customWidth="1"/>
    <col min="9736" max="9736" width="1.85546875" style="13" customWidth="1"/>
    <col min="9737" max="9737" width="7.7109375" style="13" customWidth="1"/>
    <col min="9738" max="9738" width="2.140625" style="13" customWidth="1"/>
    <col min="9739" max="9742" width="4.5703125" style="13" customWidth="1"/>
    <col min="9743" max="9983" width="8.85546875" style="13"/>
    <col min="9984" max="9984" width="1.5703125" style="13" customWidth="1"/>
    <col min="9985" max="9985" width="8.85546875" style="13"/>
    <col min="9986" max="9986" width="3.5703125" style="13" customWidth="1"/>
    <col min="9987" max="9987" width="1.85546875" style="13" customWidth="1"/>
    <col min="9988" max="9988" width="6.28515625" style="13" customWidth="1"/>
    <col min="9989" max="9989" width="3.42578125" style="13" customWidth="1"/>
    <col min="9990" max="9990" width="1.7109375" style="13" customWidth="1"/>
    <col min="9991" max="9991" width="9.85546875" style="13" customWidth="1"/>
    <col min="9992" max="9992" width="1.85546875" style="13" customWidth="1"/>
    <col min="9993" max="9993" width="7.7109375" style="13" customWidth="1"/>
    <col min="9994" max="9994" width="2.140625" style="13" customWidth="1"/>
    <col min="9995" max="9998" width="4.5703125" style="13" customWidth="1"/>
    <col min="9999" max="10239" width="8.85546875" style="13"/>
    <col min="10240" max="10240" width="1.5703125" style="13" customWidth="1"/>
    <col min="10241" max="10241" width="8.85546875" style="13"/>
    <col min="10242" max="10242" width="3.5703125" style="13" customWidth="1"/>
    <col min="10243" max="10243" width="1.85546875" style="13" customWidth="1"/>
    <col min="10244" max="10244" width="6.28515625" style="13" customWidth="1"/>
    <col min="10245" max="10245" width="3.42578125" style="13" customWidth="1"/>
    <col min="10246" max="10246" width="1.7109375" style="13" customWidth="1"/>
    <col min="10247" max="10247" width="9.85546875" style="13" customWidth="1"/>
    <col min="10248" max="10248" width="1.85546875" style="13" customWidth="1"/>
    <col min="10249" max="10249" width="7.7109375" style="13" customWidth="1"/>
    <col min="10250" max="10250" width="2.140625" style="13" customWidth="1"/>
    <col min="10251" max="10254" width="4.5703125" style="13" customWidth="1"/>
    <col min="10255" max="10495" width="8.85546875" style="13"/>
    <col min="10496" max="10496" width="1.5703125" style="13" customWidth="1"/>
    <col min="10497" max="10497" width="8.85546875" style="13"/>
    <col min="10498" max="10498" width="3.5703125" style="13" customWidth="1"/>
    <col min="10499" max="10499" width="1.85546875" style="13" customWidth="1"/>
    <col min="10500" max="10500" width="6.28515625" style="13" customWidth="1"/>
    <col min="10501" max="10501" width="3.42578125" style="13" customWidth="1"/>
    <col min="10502" max="10502" width="1.7109375" style="13" customWidth="1"/>
    <col min="10503" max="10503" width="9.85546875" style="13" customWidth="1"/>
    <col min="10504" max="10504" width="1.85546875" style="13" customWidth="1"/>
    <col min="10505" max="10505" width="7.7109375" style="13" customWidth="1"/>
    <col min="10506" max="10506" width="2.140625" style="13" customWidth="1"/>
    <col min="10507" max="10510" width="4.5703125" style="13" customWidth="1"/>
    <col min="10511" max="10751" width="8.85546875" style="13"/>
    <col min="10752" max="10752" width="1.5703125" style="13" customWidth="1"/>
    <col min="10753" max="10753" width="8.85546875" style="13"/>
    <col min="10754" max="10754" width="3.5703125" style="13" customWidth="1"/>
    <col min="10755" max="10755" width="1.85546875" style="13" customWidth="1"/>
    <col min="10756" max="10756" width="6.28515625" style="13" customWidth="1"/>
    <col min="10757" max="10757" width="3.42578125" style="13" customWidth="1"/>
    <col min="10758" max="10758" width="1.7109375" style="13" customWidth="1"/>
    <col min="10759" max="10759" width="9.85546875" style="13" customWidth="1"/>
    <col min="10760" max="10760" width="1.85546875" style="13" customWidth="1"/>
    <col min="10761" max="10761" width="7.7109375" style="13" customWidth="1"/>
    <col min="10762" max="10762" width="2.140625" style="13" customWidth="1"/>
    <col min="10763" max="10766" width="4.5703125" style="13" customWidth="1"/>
    <col min="10767" max="11007" width="8.85546875" style="13"/>
    <col min="11008" max="11008" width="1.5703125" style="13" customWidth="1"/>
    <col min="11009" max="11009" width="8.85546875" style="13"/>
    <col min="11010" max="11010" width="3.5703125" style="13" customWidth="1"/>
    <col min="11011" max="11011" width="1.85546875" style="13" customWidth="1"/>
    <col min="11012" max="11012" width="6.28515625" style="13" customWidth="1"/>
    <col min="11013" max="11013" width="3.42578125" style="13" customWidth="1"/>
    <col min="11014" max="11014" width="1.7109375" style="13" customWidth="1"/>
    <col min="11015" max="11015" width="9.85546875" style="13" customWidth="1"/>
    <col min="11016" max="11016" width="1.85546875" style="13" customWidth="1"/>
    <col min="11017" max="11017" width="7.7109375" style="13" customWidth="1"/>
    <col min="11018" max="11018" width="2.140625" style="13" customWidth="1"/>
    <col min="11019" max="11022" width="4.5703125" style="13" customWidth="1"/>
    <col min="11023" max="11263" width="8.85546875" style="13"/>
    <col min="11264" max="11264" width="1.5703125" style="13" customWidth="1"/>
    <col min="11265" max="11265" width="8.85546875" style="13"/>
    <col min="11266" max="11266" width="3.5703125" style="13" customWidth="1"/>
    <col min="11267" max="11267" width="1.85546875" style="13" customWidth="1"/>
    <col min="11268" max="11268" width="6.28515625" style="13" customWidth="1"/>
    <col min="11269" max="11269" width="3.42578125" style="13" customWidth="1"/>
    <col min="11270" max="11270" width="1.7109375" style="13" customWidth="1"/>
    <col min="11271" max="11271" width="9.85546875" style="13" customWidth="1"/>
    <col min="11272" max="11272" width="1.85546875" style="13" customWidth="1"/>
    <col min="11273" max="11273" width="7.7109375" style="13" customWidth="1"/>
    <col min="11274" max="11274" width="2.140625" style="13" customWidth="1"/>
    <col min="11275" max="11278" width="4.5703125" style="13" customWidth="1"/>
    <col min="11279" max="11519" width="8.85546875" style="13"/>
    <col min="11520" max="11520" width="1.5703125" style="13" customWidth="1"/>
    <col min="11521" max="11521" width="8.85546875" style="13"/>
    <col min="11522" max="11522" width="3.5703125" style="13" customWidth="1"/>
    <col min="11523" max="11523" width="1.85546875" style="13" customWidth="1"/>
    <col min="11524" max="11524" width="6.28515625" style="13" customWidth="1"/>
    <col min="11525" max="11525" width="3.42578125" style="13" customWidth="1"/>
    <col min="11526" max="11526" width="1.7109375" style="13" customWidth="1"/>
    <col min="11527" max="11527" width="9.85546875" style="13" customWidth="1"/>
    <col min="11528" max="11528" width="1.85546875" style="13" customWidth="1"/>
    <col min="11529" max="11529" width="7.7109375" style="13" customWidth="1"/>
    <col min="11530" max="11530" width="2.140625" style="13" customWidth="1"/>
    <col min="11531" max="11534" width="4.5703125" style="13" customWidth="1"/>
    <col min="11535" max="11775" width="8.85546875" style="13"/>
    <col min="11776" max="11776" width="1.5703125" style="13" customWidth="1"/>
    <col min="11777" max="11777" width="8.85546875" style="13"/>
    <col min="11778" max="11778" width="3.5703125" style="13" customWidth="1"/>
    <col min="11779" max="11779" width="1.85546875" style="13" customWidth="1"/>
    <col min="11780" max="11780" width="6.28515625" style="13" customWidth="1"/>
    <col min="11781" max="11781" width="3.42578125" style="13" customWidth="1"/>
    <col min="11782" max="11782" width="1.7109375" style="13" customWidth="1"/>
    <col min="11783" max="11783" width="9.85546875" style="13" customWidth="1"/>
    <col min="11784" max="11784" width="1.85546875" style="13" customWidth="1"/>
    <col min="11785" max="11785" width="7.7109375" style="13" customWidth="1"/>
    <col min="11786" max="11786" width="2.140625" style="13" customWidth="1"/>
    <col min="11787" max="11790" width="4.5703125" style="13" customWidth="1"/>
    <col min="11791" max="12031" width="8.85546875" style="13"/>
    <col min="12032" max="12032" width="1.5703125" style="13" customWidth="1"/>
    <col min="12033" max="12033" width="8.85546875" style="13"/>
    <col min="12034" max="12034" width="3.5703125" style="13" customWidth="1"/>
    <col min="12035" max="12035" width="1.85546875" style="13" customWidth="1"/>
    <col min="12036" max="12036" width="6.28515625" style="13" customWidth="1"/>
    <col min="12037" max="12037" width="3.42578125" style="13" customWidth="1"/>
    <col min="12038" max="12038" width="1.7109375" style="13" customWidth="1"/>
    <col min="12039" max="12039" width="9.85546875" style="13" customWidth="1"/>
    <col min="12040" max="12040" width="1.85546875" style="13" customWidth="1"/>
    <col min="12041" max="12041" width="7.7109375" style="13" customWidth="1"/>
    <col min="12042" max="12042" width="2.140625" style="13" customWidth="1"/>
    <col min="12043" max="12046" width="4.5703125" style="13" customWidth="1"/>
    <col min="12047" max="12287" width="8.85546875" style="13"/>
    <col min="12288" max="12288" width="1.5703125" style="13" customWidth="1"/>
    <col min="12289" max="12289" width="8.85546875" style="13"/>
    <col min="12290" max="12290" width="3.5703125" style="13" customWidth="1"/>
    <col min="12291" max="12291" width="1.85546875" style="13" customWidth="1"/>
    <col min="12292" max="12292" width="6.28515625" style="13" customWidth="1"/>
    <col min="12293" max="12293" width="3.42578125" style="13" customWidth="1"/>
    <col min="12294" max="12294" width="1.7109375" style="13" customWidth="1"/>
    <col min="12295" max="12295" width="9.85546875" style="13" customWidth="1"/>
    <col min="12296" max="12296" width="1.85546875" style="13" customWidth="1"/>
    <col min="12297" max="12297" width="7.7109375" style="13" customWidth="1"/>
    <col min="12298" max="12298" width="2.140625" style="13" customWidth="1"/>
    <col min="12299" max="12302" width="4.5703125" style="13" customWidth="1"/>
    <col min="12303" max="12543" width="8.85546875" style="13"/>
    <col min="12544" max="12544" width="1.5703125" style="13" customWidth="1"/>
    <col min="12545" max="12545" width="8.85546875" style="13"/>
    <col min="12546" max="12546" width="3.5703125" style="13" customWidth="1"/>
    <col min="12547" max="12547" width="1.85546875" style="13" customWidth="1"/>
    <col min="12548" max="12548" width="6.28515625" style="13" customWidth="1"/>
    <col min="12549" max="12549" width="3.42578125" style="13" customWidth="1"/>
    <col min="12550" max="12550" width="1.7109375" style="13" customWidth="1"/>
    <col min="12551" max="12551" width="9.85546875" style="13" customWidth="1"/>
    <col min="12552" max="12552" width="1.85546875" style="13" customWidth="1"/>
    <col min="12553" max="12553" width="7.7109375" style="13" customWidth="1"/>
    <col min="12554" max="12554" width="2.140625" style="13" customWidth="1"/>
    <col min="12555" max="12558" width="4.5703125" style="13" customWidth="1"/>
    <col min="12559" max="12799" width="8.85546875" style="13"/>
    <col min="12800" max="12800" width="1.5703125" style="13" customWidth="1"/>
    <col min="12801" max="12801" width="8.85546875" style="13"/>
    <col min="12802" max="12802" width="3.5703125" style="13" customWidth="1"/>
    <col min="12803" max="12803" width="1.85546875" style="13" customWidth="1"/>
    <col min="12804" max="12804" width="6.28515625" style="13" customWidth="1"/>
    <col min="12805" max="12805" width="3.42578125" style="13" customWidth="1"/>
    <col min="12806" max="12806" width="1.7109375" style="13" customWidth="1"/>
    <col min="12807" max="12807" width="9.85546875" style="13" customWidth="1"/>
    <col min="12808" max="12808" width="1.85546875" style="13" customWidth="1"/>
    <col min="12809" max="12809" width="7.7109375" style="13" customWidth="1"/>
    <col min="12810" max="12810" width="2.140625" style="13" customWidth="1"/>
    <col min="12811" max="12814" width="4.5703125" style="13" customWidth="1"/>
    <col min="12815" max="13055" width="8.85546875" style="13"/>
    <col min="13056" max="13056" width="1.5703125" style="13" customWidth="1"/>
    <col min="13057" max="13057" width="8.85546875" style="13"/>
    <col min="13058" max="13058" width="3.5703125" style="13" customWidth="1"/>
    <col min="13059" max="13059" width="1.85546875" style="13" customWidth="1"/>
    <col min="13060" max="13060" width="6.28515625" style="13" customWidth="1"/>
    <col min="13061" max="13061" width="3.42578125" style="13" customWidth="1"/>
    <col min="13062" max="13062" width="1.7109375" style="13" customWidth="1"/>
    <col min="13063" max="13063" width="9.85546875" style="13" customWidth="1"/>
    <col min="13064" max="13064" width="1.85546875" style="13" customWidth="1"/>
    <col min="13065" max="13065" width="7.7109375" style="13" customWidth="1"/>
    <col min="13066" max="13066" width="2.140625" style="13" customWidth="1"/>
    <col min="13067" max="13070" width="4.5703125" style="13" customWidth="1"/>
    <col min="13071" max="13311" width="8.85546875" style="13"/>
    <col min="13312" max="13312" width="1.5703125" style="13" customWidth="1"/>
    <col min="13313" max="13313" width="8.85546875" style="13"/>
    <col min="13314" max="13314" width="3.5703125" style="13" customWidth="1"/>
    <col min="13315" max="13315" width="1.85546875" style="13" customWidth="1"/>
    <col min="13316" max="13316" width="6.28515625" style="13" customWidth="1"/>
    <col min="13317" max="13317" width="3.42578125" style="13" customWidth="1"/>
    <col min="13318" max="13318" width="1.7109375" style="13" customWidth="1"/>
    <col min="13319" max="13319" width="9.85546875" style="13" customWidth="1"/>
    <col min="13320" max="13320" width="1.85546875" style="13" customWidth="1"/>
    <col min="13321" max="13321" width="7.7109375" style="13" customWidth="1"/>
    <col min="13322" max="13322" width="2.140625" style="13" customWidth="1"/>
    <col min="13323" max="13326" width="4.5703125" style="13" customWidth="1"/>
    <col min="13327" max="13567" width="8.85546875" style="13"/>
    <col min="13568" max="13568" width="1.5703125" style="13" customWidth="1"/>
    <col min="13569" max="13569" width="8.85546875" style="13"/>
    <col min="13570" max="13570" width="3.5703125" style="13" customWidth="1"/>
    <col min="13571" max="13571" width="1.85546875" style="13" customWidth="1"/>
    <col min="13572" max="13572" width="6.28515625" style="13" customWidth="1"/>
    <col min="13573" max="13573" width="3.42578125" style="13" customWidth="1"/>
    <col min="13574" max="13574" width="1.7109375" style="13" customWidth="1"/>
    <col min="13575" max="13575" width="9.85546875" style="13" customWidth="1"/>
    <col min="13576" max="13576" width="1.85546875" style="13" customWidth="1"/>
    <col min="13577" max="13577" width="7.7109375" style="13" customWidth="1"/>
    <col min="13578" max="13578" width="2.140625" style="13" customWidth="1"/>
    <col min="13579" max="13582" width="4.5703125" style="13" customWidth="1"/>
    <col min="13583" max="13823" width="8.85546875" style="13"/>
    <col min="13824" max="13824" width="1.5703125" style="13" customWidth="1"/>
    <col min="13825" max="13825" width="8.85546875" style="13"/>
    <col min="13826" max="13826" width="3.5703125" style="13" customWidth="1"/>
    <col min="13827" max="13827" width="1.85546875" style="13" customWidth="1"/>
    <col min="13828" max="13828" width="6.28515625" style="13" customWidth="1"/>
    <col min="13829" max="13829" width="3.42578125" style="13" customWidth="1"/>
    <col min="13830" max="13830" width="1.7109375" style="13" customWidth="1"/>
    <col min="13831" max="13831" width="9.85546875" style="13" customWidth="1"/>
    <col min="13832" max="13832" width="1.85546875" style="13" customWidth="1"/>
    <col min="13833" max="13833" width="7.7109375" style="13" customWidth="1"/>
    <col min="13834" max="13834" width="2.140625" style="13" customWidth="1"/>
    <col min="13835" max="13838" width="4.5703125" style="13" customWidth="1"/>
    <col min="13839" max="14079" width="8.85546875" style="13"/>
    <col min="14080" max="14080" width="1.5703125" style="13" customWidth="1"/>
    <col min="14081" max="14081" width="8.85546875" style="13"/>
    <col min="14082" max="14082" width="3.5703125" style="13" customWidth="1"/>
    <col min="14083" max="14083" width="1.85546875" style="13" customWidth="1"/>
    <col min="14084" max="14084" width="6.28515625" style="13" customWidth="1"/>
    <col min="14085" max="14085" width="3.42578125" style="13" customWidth="1"/>
    <col min="14086" max="14086" width="1.7109375" style="13" customWidth="1"/>
    <col min="14087" max="14087" width="9.85546875" style="13" customWidth="1"/>
    <col min="14088" max="14088" width="1.85546875" style="13" customWidth="1"/>
    <col min="14089" max="14089" width="7.7109375" style="13" customWidth="1"/>
    <col min="14090" max="14090" width="2.140625" style="13" customWidth="1"/>
    <col min="14091" max="14094" width="4.5703125" style="13" customWidth="1"/>
    <col min="14095" max="14335" width="8.85546875" style="13"/>
    <col min="14336" max="14336" width="1.5703125" style="13" customWidth="1"/>
    <col min="14337" max="14337" width="8.85546875" style="13"/>
    <col min="14338" max="14338" width="3.5703125" style="13" customWidth="1"/>
    <col min="14339" max="14339" width="1.85546875" style="13" customWidth="1"/>
    <col min="14340" max="14340" width="6.28515625" style="13" customWidth="1"/>
    <col min="14341" max="14341" width="3.42578125" style="13" customWidth="1"/>
    <col min="14342" max="14342" width="1.7109375" style="13" customWidth="1"/>
    <col min="14343" max="14343" width="9.85546875" style="13" customWidth="1"/>
    <col min="14344" max="14344" width="1.85546875" style="13" customWidth="1"/>
    <col min="14345" max="14345" width="7.7109375" style="13" customWidth="1"/>
    <col min="14346" max="14346" width="2.140625" style="13" customWidth="1"/>
    <col min="14347" max="14350" width="4.5703125" style="13" customWidth="1"/>
    <col min="14351" max="14591" width="8.85546875" style="13"/>
    <col min="14592" max="14592" width="1.5703125" style="13" customWidth="1"/>
    <col min="14593" max="14593" width="8.85546875" style="13"/>
    <col min="14594" max="14594" width="3.5703125" style="13" customWidth="1"/>
    <col min="14595" max="14595" width="1.85546875" style="13" customWidth="1"/>
    <col min="14596" max="14596" width="6.28515625" style="13" customWidth="1"/>
    <col min="14597" max="14597" width="3.42578125" style="13" customWidth="1"/>
    <col min="14598" max="14598" width="1.7109375" style="13" customWidth="1"/>
    <col min="14599" max="14599" width="9.85546875" style="13" customWidth="1"/>
    <col min="14600" max="14600" width="1.85546875" style="13" customWidth="1"/>
    <col min="14601" max="14601" width="7.7109375" style="13" customWidth="1"/>
    <col min="14602" max="14602" width="2.140625" style="13" customWidth="1"/>
    <col min="14603" max="14606" width="4.5703125" style="13" customWidth="1"/>
    <col min="14607" max="14847" width="8.85546875" style="13"/>
    <col min="14848" max="14848" width="1.5703125" style="13" customWidth="1"/>
    <col min="14849" max="14849" width="8.85546875" style="13"/>
    <col min="14850" max="14850" width="3.5703125" style="13" customWidth="1"/>
    <col min="14851" max="14851" width="1.85546875" style="13" customWidth="1"/>
    <col min="14852" max="14852" width="6.28515625" style="13" customWidth="1"/>
    <col min="14853" max="14853" width="3.42578125" style="13" customWidth="1"/>
    <col min="14854" max="14854" width="1.7109375" style="13" customWidth="1"/>
    <col min="14855" max="14855" width="9.85546875" style="13" customWidth="1"/>
    <col min="14856" max="14856" width="1.85546875" style="13" customWidth="1"/>
    <col min="14857" max="14857" width="7.7109375" style="13" customWidth="1"/>
    <col min="14858" max="14858" width="2.140625" style="13" customWidth="1"/>
    <col min="14859" max="14862" width="4.5703125" style="13" customWidth="1"/>
    <col min="14863" max="15103" width="8.85546875" style="13"/>
    <col min="15104" max="15104" width="1.5703125" style="13" customWidth="1"/>
    <col min="15105" max="15105" width="8.85546875" style="13"/>
    <col min="15106" max="15106" width="3.5703125" style="13" customWidth="1"/>
    <col min="15107" max="15107" width="1.85546875" style="13" customWidth="1"/>
    <col min="15108" max="15108" width="6.28515625" style="13" customWidth="1"/>
    <col min="15109" max="15109" width="3.42578125" style="13" customWidth="1"/>
    <col min="15110" max="15110" width="1.7109375" style="13" customWidth="1"/>
    <col min="15111" max="15111" width="9.85546875" style="13" customWidth="1"/>
    <col min="15112" max="15112" width="1.85546875" style="13" customWidth="1"/>
    <col min="15113" max="15113" width="7.7109375" style="13" customWidth="1"/>
    <col min="15114" max="15114" width="2.140625" style="13" customWidth="1"/>
    <col min="15115" max="15118" width="4.5703125" style="13" customWidth="1"/>
    <col min="15119" max="15359" width="8.85546875" style="13"/>
    <col min="15360" max="15360" width="1.5703125" style="13" customWidth="1"/>
    <col min="15361" max="15361" width="8.85546875" style="13"/>
    <col min="15362" max="15362" width="3.5703125" style="13" customWidth="1"/>
    <col min="15363" max="15363" width="1.85546875" style="13" customWidth="1"/>
    <col min="15364" max="15364" width="6.28515625" style="13" customWidth="1"/>
    <col min="15365" max="15365" width="3.42578125" style="13" customWidth="1"/>
    <col min="15366" max="15366" width="1.7109375" style="13" customWidth="1"/>
    <col min="15367" max="15367" width="9.85546875" style="13" customWidth="1"/>
    <col min="15368" max="15368" width="1.85546875" style="13" customWidth="1"/>
    <col min="15369" max="15369" width="7.7109375" style="13" customWidth="1"/>
    <col min="15370" max="15370" width="2.140625" style="13" customWidth="1"/>
    <col min="15371" max="15374" width="4.5703125" style="13" customWidth="1"/>
    <col min="15375" max="15615" width="8.85546875" style="13"/>
    <col min="15616" max="15616" width="1.5703125" style="13" customWidth="1"/>
    <col min="15617" max="15617" width="8.85546875" style="13"/>
    <col min="15618" max="15618" width="3.5703125" style="13" customWidth="1"/>
    <col min="15619" max="15619" width="1.85546875" style="13" customWidth="1"/>
    <col min="15620" max="15620" width="6.28515625" style="13" customWidth="1"/>
    <col min="15621" max="15621" width="3.42578125" style="13" customWidth="1"/>
    <col min="15622" max="15622" width="1.7109375" style="13" customWidth="1"/>
    <col min="15623" max="15623" width="9.85546875" style="13" customWidth="1"/>
    <col min="15624" max="15624" width="1.85546875" style="13" customWidth="1"/>
    <col min="15625" max="15625" width="7.7109375" style="13" customWidth="1"/>
    <col min="15626" max="15626" width="2.140625" style="13" customWidth="1"/>
    <col min="15627" max="15630" width="4.5703125" style="13" customWidth="1"/>
    <col min="15631" max="15871" width="8.85546875" style="13"/>
    <col min="15872" max="15872" width="1.5703125" style="13" customWidth="1"/>
    <col min="15873" max="15873" width="8.85546875" style="13"/>
    <col min="15874" max="15874" width="3.5703125" style="13" customWidth="1"/>
    <col min="15875" max="15875" width="1.85546875" style="13" customWidth="1"/>
    <col min="15876" max="15876" width="6.28515625" style="13" customWidth="1"/>
    <col min="15877" max="15877" width="3.42578125" style="13" customWidth="1"/>
    <col min="15878" max="15878" width="1.7109375" style="13" customWidth="1"/>
    <col min="15879" max="15879" width="9.85546875" style="13" customWidth="1"/>
    <col min="15880" max="15880" width="1.85546875" style="13" customWidth="1"/>
    <col min="15881" max="15881" width="7.7109375" style="13" customWidth="1"/>
    <col min="15882" max="15882" width="2.140625" style="13" customWidth="1"/>
    <col min="15883" max="15886" width="4.5703125" style="13" customWidth="1"/>
    <col min="15887" max="16127" width="8.85546875" style="13"/>
    <col min="16128" max="16128" width="1.5703125" style="13" customWidth="1"/>
    <col min="16129" max="16129" width="8.85546875" style="13"/>
    <col min="16130" max="16130" width="3.5703125" style="13" customWidth="1"/>
    <col min="16131" max="16131" width="1.85546875" style="13" customWidth="1"/>
    <col min="16132" max="16132" width="6.28515625" style="13" customWidth="1"/>
    <col min="16133" max="16133" width="3.42578125" style="13" customWidth="1"/>
    <col min="16134" max="16134" width="1.7109375" style="13" customWidth="1"/>
    <col min="16135" max="16135" width="9.85546875" style="13" customWidth="1"/>
    <col min="16136" max="16136" width="1.85546875" style="13" customWidth="1"/>
    <col min="16137" max="16137" width="7.7109375" style="13" customWidth="1"/>
    <col min="16138" max="16138" width="2.140625" style="13" customWidth="1"/>
    <col min="16139" max="16142" width="4.5703125" style="13" customWidth="1"/>
    <col min="16143" max="16384" width="8.85546875" style="13"/>
  </cols>
  <sheetData>
    <row r="1" spans="2:18" ht="12" customHeight="1" x14ac:dyDescent="0.25">
      <c r="B1" s="78" t="s">
        <v>110</v>
      </c>
      <c r="C1" s="78"/>
    </row>
    <row r="2" spans="2:18" ht="32.25" customHeight="1" x14ac:dyDescent="0.25">
      <c r="R2" s="76"/>
    </row>
    <row r="3" spans="2:18" ht="28.5" x14ac:dyDescent="0.45">
      <c r="B3" s="552" t="s">
        <v>212</v>
      </c>
      <c r="C3" s="552"/>
      <c r="D3" s="552"/>
      <c r="E3" s="552"/>
      <c r="F3" s="552"/>
      <c r="G3" s="552"/>
      <c r="H3" s="552"/>
      <c r="I3" s="552"/>
      <c r="J3" s="552"/>
      <c r="K3" s="552"/>
      <c r="L3" s="552"/>
      <c r="M3" s="552"/>
      <c r="N3" s="552"/>
      <c r="O3" s="552"/>
      <c r="P3" s="552"/>
      <c r="Q3" s="552"/>
      <c r="R3" s="552"/>
    </row>
    <row r="5" spans="2:18" ht="32.25" customHeight="1" x14ac:dyDescent="0.25"/>
    <row r="6" spans="2:18" ht="28.5" x14ac:dyDescent="0.45">
      <c r="C6" s="70" t="s">
        <v>207</v>
      </c>
      <c r="D6" s="71" t="s">
        <v>33</v>
      </c>
      <c r="E6" s="72" t="s">
        <v>211</v>
      </c>
      <c r="F6" s="71" t="s">
        <v>33</v>
      </c>
      <c r="G6" s="77">
        <v>2</v>
      </c>
      <c r="H6" s="72" t="s">
        <v>33</v>
      </c>
      <c r="I6" s="71" t="s">
        <v>210</v>
      </c>
      <c r="J6" s="71" t="s">
        <v>33</v>
      </c>
      <c r="K6" s="71" t="s">
        <v>246</v>
      </c>
      <c r="L6" s="71" t="s">
        <v>33</v>
      </c>
      <c r="M6" s="72" t="s">
        <v>209</v>
      </c>
      <c r="N6" s="73" t="s">
        <v>208</v>
      </c>
    </row>
    <row r="7" spans="2:18" ht="28.5" x14ac:dyDescent="0.45">
      <c r="C7" s="74">
        <v>1</v>
      </c>
      <c r="D7" s="74"/>
      <c r="E7" s="74">
        <v>2</v>
      </c>
      <c r="F7" s="74"/>
      <c r="G7" s="74">
        <v>3</v>
      </c>
      <c r="H7" s="74"/>
      <c r="I7" s="74">
        <v>4</v>
      </c>
      <c r="J7" s="74"/>
      <c r="K7" s="74">
        <v>5</v>
      </c>
      <c r="L7" s="74"/>
      <c r="M7" s="74">
        <v>6</v>
      </c>
      <c r="N7" s="74">
        <v>7</v>
      </c>
    </row>
    <row r="10" spans="2:18" x14ac:dyDescent="0.25">
      <c r="D10" s="75">
        <v>1</v>
      </c>
      <c r="E10" s="75" t="s">
        <v>108</v>
      </c>
      <c r="F10" s="75"/>
    </row>
    <row r="11" spans="2:18" x14ac:dyDescent="0.25">
      <c r="D11" s="75"/>
      <c r="E11" s="76" t="s">
        <v>207</v>
      </c>
      <c r="F11" s="76"/>
      <c r="G11" s="13" t="s">
        <v>206</v>
      </c>
    </row>
    <row r="12" spans="2:18" x14ac:dyDescent="0.25">
      <c r="D12" s="75"/>
    </row>
    <row r="13" spans="2:18" x14ac:dyDescent="0.25">
      <c r="D13" s="75">
        <v>2</v>
      </c>
      <c r="E13" s="75" t="s">
        <v>107</v>
      </c>
      <c r="F13" s="75"/>
    </row>
    <row r="14" spans="2:18" x14ac:dyDescent="0.25">
      <c r="D14" s="75"/>
      <c r="E14" s="110" t="s">
        <v>205</v>
      </c>
      <c r="F14" s="110"/>
      <c r="G14" s="13" t="s">
        <v>109</v>
      </c>
      <c r="N14" s="13" t="s">
        <v>204</v>
      </c>
    </row>
    <row r="15" spans="2:18" x14ac:dyDescent="0.25">
      <c r="D15" s="75"/>
      <c r="E15" s="76" t="s">
        <v>203</v>
      </c>
      <c r="F15" s="76"/>
      <c r="G15" s="13" t="s">
        <v>202</v>
      </c>
      <c r="N15" s="13" t="s">
        <v>201</v>
      </c>
    </row>
    <row r="16" spans="2:18" x14ac:dyDescent="0.25">
      <c r="D16" s="75"/>
      <c r="E16" s="76"/>
      <c r="F16" s="76"/>
    </row>
    <row r="17" spans="4:12" x14ac:dyDescent="0.25">
      <c r="D17" s="75">
        <v>3</v>
      </c>
      <c r="E17" s="75" t="s">
        <v>200</v>
      </c>
      <c r="F17" s="75"/>
    </row>
    <row r="18" spans="4:12" x14ac:dyDescent="0.25">
      <c r="D18" s="75"/>
      <c r="E18" s="140" t="s">
        <v>199</v>
      </c>
      <c r="F18" s="140"/>
    </row>
    <row r="19" spans="4:12" x14ac:dyDescent="0.25">
      <c r="D19" s="75"/>
      <c r="E19" s="139"/>
      <c r="F19" s="139"/>
    </row>
    <row r="20" spans="4:12" x14ac:dyDescent="0.25">
      <c r="D20" s="75">
        <v>4</v>
      </c>
      <c r="E20" s="75" t="s">
        <v>106</v>
      </c>
      <c r="F20" s="75"/>
    </row>
    <row r="21" spans="4:12" x14ac:dyDescent="0.25">
      <c r="D21" s="75"/>
      <c r="E21" s="13" t="s">
        <v>198</v>
      </c>
    </row>
    <row r="22" spans="4:12" x14ac:dyDescent="0.25">
      <c r="D22" s="75"/>
      <c r="E22" s="13" t="s">
        <v>197</v>
      </c>
    </row>
    <row r="23" spans="4:12" x14ac:dyDescent="0.25">
      <c r="D23" s="75"/>
      <c r="G23" s="13" t="s">
        <v>105</v>
      </c>
    </row>
    <row r="24" spans="4:12" x14ac:dyDescent="0.25">
      <c r="D24" s="75"/>
    </row>
    <row r="25" spans="4:12" x14ac:dyDescent="0.25">
      <c r="D25" s="75">
        <v>5</v>
      </c>
      <c r="E25" s="75" t="s">
        <v>196</v>
      </c>
      <c r="F25" s="75"/>
    </row>
    <row r="26" spans="4:12" x14ac:dyDescent="0.25">
      <c r="D26" s="75"/>
      <c r="E26" s="13" t="s">
        <v>181</v>
      </c>
      <c r="G26" s="13" t="s">
        <v>247</v>
      </c>
    </row>
    <row r="27" spans="4:12" x14ac:dyDescent="0.25">
      <c r="D27" s="75"/>
      <c r="E27" s="13" t="s">
        <v>182</v>
      </c>
      <c r="G27" s="13" t="s">
        <v>248</v>
      </c>
    </row>
    <row r="28" spans="4:12" x14ac:dyDescent="0.25">
      <c r="D28" s="75"/>
    </row>
    <row r="29" spans="4:12" x14ac:dyDescent="0.25">
      <c r="D29" s="75">
        <v>6</v>
      </c>
      <c r="E29" s="75" t="s">
        <v>195</v>
      </c>
      <c r="F29" s="75"/>
    </row>
    <row r="30" spans="4:12" x14ac:dyDescent="0.25">
      <c r="D30" s="75"/>
      <c r="E30" s="13" t="s">
        <v>194</v>
      </c>
      <c r="I30" s="138" t="s">
        <v>191</v>
      </c>
      <c r="J30" s="138"/>
      <c r="K30" s="138"/>
      <c r="L30" s="138"/>
    </row>
    <row r="31" spans="4:12" x14ac:dyDescent="0.25">
      <c r="D31" s="75"/>
      <c r="E31" s="13" t="s">
        <v>193</v>
      </c>
      <c r="I31" s="138"/>
      <c r="J31" s="138"/>
      <c r="K31" s="138"/>
      <c r="L31" s="138"/>
    </row>
    <row r="32" spans="4:12" x14ac:dyDescent="0.25">
      <c r="D32" s="75"/>
      <c r="E32" s="13" t="s">
        <v>192</v>
      </c>
      <c r="I32" s="138" t="s">
        <v>191</v>
      </c>
      <c r="J32" s="138"/>
      <c r="K32" s="138"/>
      <c r="L32" s="138"/>
    </row>
    <row r="33" spans="4:6" x14ac:dyDescent="0.25">
      <c r="D33" s="75">
        <v>7</v>
      </c>
      <c r="E33" s="75" t="s">
        <v>190</v>
      </c>
      <c r="F33" s="75"/>
    </row>
    <row r="34" spans="4:6" x14ac:dyDescent="0.25">
      <c r="E34" s="13" t="s">
        <v>189</v>
      </c>
    </row>
    <row r="35" spans="4:6" x14ac:dyDescent="0.25">
      <c r="E35" s="13" t="s">
        <v>188</v>
      </c>
    </row>
  </sheetData>
  <sheetProtection algorithmName="SHA-512" hashValue="G0aUKQyYFv9rsFYFE7wTLQT+FTQblqcaVtr+guVUj7kSRA9fk7s5di6hNP4d1XO+FgQpX/N+2RoCafiCKJ0gUw==" saltValue="Ju5vG1C+vYYrIRCrxYHJCA==" spinCount="100000" sheet="1" objects="1" scenarios="1" selectLockedCells="1" selectUnlockedCells="1"/>
  <mergeCells count="1">
    <mergeCell ref="B3:R3"/>
  </mergeCells>
  <pageMargins left="0.7" right="0.7" top="0.78740157499999996" bottom="0.78740157499999996" header="0.3" footer="0.3"/>
  <pageSetup paperSize="9" scale="7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List11">
    <tabColor rgb="FFFFFF00"/>
  </sheetPr>
  <dimension ref="A2:A221"/>
  <sheetViews>
    <sheetView showGridLines="0" view="pageBreakPreview" zoomScale="85" zoomScaleNormal="100" zoomScaleSheetLayoutView="85" workbookViewId="0">
      <selection activeCell="A24" sqref="A24"/>
    </sheetView>
  </sheetViews>
  <sheetFormatPr defaultRowHeight="15" x14ac:dyDescent="0.25"/>
  <cols>
    <col min="1" max="1" width="141.7109375" style="87" customWidth="1"/>
  </cols>
  <sheetData>
    <row r="2" spans="1:1" x14ac:dyDescent="0.25">
      <c r="A2" s="174"/>
    </row>
    <row r="3" spans="1:1" x14ac:dyDescent="0.25">
      <c r="A3" s="175" t="s">
        <v>118</v>
      </c>
    </row>
    <row r="4" spans="1:1" x14ac:dyDescent="0.25">
      <c r="A4" s="176" t="s">
        <v>275</v>
      </c>
    </row>
    <row r="5" spans="1:1" x14ac:dyDescent="0.25">
      <c r="A5" s="177" t="s">
        <v>276</v>
      </c>
    </row>
    <row r="6" spans="1:1" ht="63.75" x14ac:dyDescent="0.25">
      <c r="A6" s="178" t="s">
        <v>383</v>
      </c>
    </row>
    <row r="7" spans="1:1" x14ac:dyDescent="0.25">
      <c r="A7" s="178" t="s">
        <v>119</v>
      </c>
    </row>
    <row r="8" spans="1:1" x14ac:dyDescent="0.25">
      <c r="A8" s="178" t="s">
        <v>147</v>
      </c>
    </row>
    <row r="9" spans="1:1" x14ac:dyDescent="0.25">
      <c r="A9" s="178" t="s">
        <v>120</v>
      </c>
    </row>
    <row r="10" spans="1:1" x14ac:dyDescent="0.25">
      <c r="A10" s="178" t="s">
        <v>121</v>
      </c>
    </row>
    <row r="11" spans="1:1" x14ac:dyDescent="0.25">
      <c r="A11" s="179" t="s">
        <v>277</v>
      </c>
    </row>
    <row r="12" spans="1:1" x14ac:dyDescent="0.25">
      <c r="A12" s="180" t="s">
        <v>122</v>
      </c>
    </row>
    <row r="13" spans="1:1" ht="25.5" x14ac:dyDescent="0.25">
      <c r="A13" s="178" t="s">
        <v>278</v>
      </c>
    </row>
    <row r="14" spans="1:1" x14ac:dyDescent="0.25">
      <c r="A14" s="179" t="s">
        <v>123</v>
      </c>
    </row>
    <row r="15" spans="1:1" x14ac:dyDescent="0.25">
      <c r="A15" s="180" t="s">
        <v>124</v>
      </c>
    </row>
    <row r="16" spans="1:1" x14ac:dyDescent="0.25">
      <c r="A16" s="178" t="s">
        <v>125</v>
      </c>
    </row>
    <row r="17" spans="1:1" ht="25.5" x14ac:dyDescent="0.25">
      <c r="A17" s="178" t="s">
        <v>126</v>
      </c>
    </row>
    <row r="18" spans="1:1" x14ac:dyDescent="0.25">
      <c r="A18" s="180" t="s">
        <v>127</v>
      </c>
    </row>
    <row r="19" spans="1:1" x14ac:dyDescent="0.25">
      <c r="A19" s="178" t="s">
        <v>279</v>
      </c>
    </row>
    <row r="20" spans="1:1" ht="38.25" x14ac:dyDescent="0.25">
      <c r="A20" s="178" t="s">
        <v>280</v>
      </c>
    </row>
    <row r="21" spans="1:1" ht="25.5" x14ac:dyDescent="0.25">
      <c r="A21" s="178" t="s">
        <v>281</v>
      </c>
    </row>
    <row r="22" spans="1:1" x14ac:dyDescent="0.25">
      <c r="A22" s="178" t="s">
        <v>282</v>
      </c>
    </row>
    <row r="23" spans="1:1" x14ac:dyDescent="0.25">
      <c r="A23" s="178" t="s">
        <v>283</v>
      </c>
    </row>
    <row r="24" spans="1:1" x14ac:dyDescent="0.25">
      <c r="A24" s="178" t="s">
        <v>284</v>
      </c>
    </row>
    <row r="25" spans="1:1" x14ac:dyDescent="0.25">
      <c r="A25" s="178" t="s">
        <v>285</v>
      </c>
    </row>
    <row r="26" spans="1:1" ht="25.5" x14ac:dyDescent="0.25">
      <c r="A26" s="178" t="s">
        <v>128</v>
      </c>
    </row>
    <row r="27" spans="1:1" ht="25.5" x14ac:dyDescent="0.25">
      <c r="A27" s="178" t="s">
        <v>286</v>
      </c>
    </row>
    <row r="28" spans="1:1" x14ac:dyDescent="0.25">
      <c r="A28" s="178" t="s">
        <v>287</v>
      </c>
    </row>
    <row r="29" spans="1:1" ht="38.25" x14ac:dyDescent="0.25">
      <c r="A29" s="178" t="s">
        <v>288</v>
      </c>
    </row>
    <row r="30" spans="1:1" x14ac:dyDescent="0.25">
      <c r="A30" s="178" t="s">
        <v>289</v>
      </c>
    </row>
    <row r="31" spans="1:1" x14ac:dyDescent="0.25">
      <c r="A31" s="178" t="s">
        <v>290</v>
      </c>
    </row>
    <row r="32" spans="1:1" ht="25.5" x14ac:dyDescent="0.25">
      <c r="A32" s="178" t="s">
        <v>291</v>
      </c>
    </row>
    <row r="33" spans="1:1" ht="25.5" x14ac:dyDescent="0.25">
      <c r="A33" s="178" t="s">
        <v>292</v>
      </c>
    </row>
    <row r="34" spans="1:1" x14ac:dyDescent="0.25">
      <c r="A34" s="178" t="s">
        <v>293</v>
      </c>
    </row>
    <row r="35" spans="1:1" x14ac:dyDescent="0.25">
      <c r="A35" s="181" t="s">
        <v>129</v>
      </c>
    </row>
    <row r="36" spans="1:1" x14ac:dyDescent="0.25">
      <c r="A36" s="181" t="s">
        <v>130</v>
      </c>
    </row>
    <row r="37" spans="1:1" x14ac:dyDescent="0.25">
      <c r="A37" s="178" t="s">
        <v>294</v>
      </c>
    </row>
    <row r="38" spans="1:1" x14ac:dyDescent="0.25">
      <c r="A38" s="178" t="s">
        <v>295</v>
      </c>
    </row>
    <row r="39" spans="1:1" x14ac:dyDescent="0.25">
      <c r="A39" s="182" t="s">
        <v>131</v>
      </c>
    </row>
    <row r="40" spans="1:1" ht="25.5" x14ac:dyDescent="0.25">
      <c r="A40" s="178" t="s">
        <v>296</v>
      </c>
    </row>
    <row r="41" spans="1:1" ht="30" x14ac:dyDescent="0.25">
      <c r="A41" s="183" t="s">
        <v>274</v>
      </c>
    </row>
    <row r="62" spans="1:1" x14ac:dyDescent="0.25">
      <c r="A62" s="89"/>
    </row>
    <row r="73" ht="14.45" customHeight="1" x14ac:dyDescent="0.25"/>
    <row r="74" ht="14.45" customHeight="1" x14ac:dyDescent="0.25"/>
    <row r="75" ht="14.45" customHeight="1" x14ac:dyDescent="0.25"/>
    <row r="76" ht="14.45" customHeight="1" x14ac:dyDescent="0.25"/>
    <row r="77" ht="14.45" customHeight="1" x14ac:dyDescent="0.25"/>
    <row r="78" ht="14.45" customHeight="1" x14ac:dyDescent="0.25"/>
    <row r="79" ht="14.45" customHeight="1" x14ac:dyDescent="0.25"/>
    <row r="80" ht="14.45" customHeight="1" x14ac:dyDescent="0.25"/>
    <row r="81" ht="14.45" customHeight="1" x14ac:dyDescent="0.25"/>
    <row r="82" ht="14.45" customHeight="1" x14ac:dyDescent="0.25"/>
    <row r="83" ht="14.45" customHeight="1" x14ac:dyDescent="0.25"/>
    <row r="84" ht="14.45" customHeight="1" x14ac:dyDescent="0.25"/>
    <row r="85" ht="14.45" customHeight="1" x14ac:dyDescent="0.25"/>
    <row r="86" ht="14.45" customHeight="1" x14ac:dyDescent="0.25"/>
    <row r="87" ht="14.45" customHeight="1" x14ac:dyDescent="0.25"/>
    <row r="88" ht="14.45" customHeight="1" x14ac:dyDescent="0.25"/>
    <row r="89" ht="14.45" customHeight="1" x14ac:dyDescent="0.25"/>
    <row r="90" ht="14.45" customHeight="1" x14ac:dyDescent="0.25"/>
    <row r="91" ht="14.45" customHeight="1" x14ac:dyDescent="0.25"/>
    <row r="92" ht="14.45" customHeight="1" x14ac:dyDescent="0.25"/>
    <row r="93" ht="14.45" customHeight="1" x14ac:dyDescent="0.25"/>
    <row r="94" ht="14.45" customHeight="1" x14ac:dyDescent="0.25"/>
    <row r="95" ht="14.45" customHeight="1" x14ac:dyDescent="0.25"/>
    <row r="96" ht="14.45" customHeight="1" x14ac:dyDescent="0.25"/>
    <row r="97" ht="14.45" customHeight="1" x14ac:dyDescent="0.25"/>
    <row r="98" ht="14.45" customHeight="1" x14ac:dyDescent="0.25"/>
    <row r="99" ht="14.45" customHeight="1" x14ac:dyDescent="0.25"/>
    <row r="100" ht="14.45" customHeight="1" x14ac:dyDescent="0.25"/>
    <row r="101" ht="14.45" customHeight="1" x14ac:dyDescent="0.25"/>
    <row r="102" ht="14.45" customHeight="1" x14ac:dyDescent="0.25"/>
    <row r="103" ht="14.45" customHeight="1" x14ac:dyDescent="0.25"/>
    <row r="104" ht="14.45" customHeight="1" x14ac:dyDescent="0.25"/>
    <row r="105" ht="14.45" customHeight="1" x14ac:dyDescent="0.25"/>
    <row r="106" ht="14.45" customHeight="1" x14ac:dyDescent="0.25"/>
    <row r="107" ht="14.45" customHeight="1" x14ac:dyDescent="0.25"/>
    <row r="108" ht="14.45" customHeight="1" x14ac:dyDescent="0.25"/>
    <row r="109" ht="14.45" customHeight="1" x14ac:dyDescent="0.25"/>
    <row r="110" ht="14.45" customHeight="1" x14ac:dyDescent="0.25"/>
    <row r="111" ht="14.45" customHeight="1" x14ac:dyDescent="0.25"/>
    <row r="112" ht="14.45" customHeight="1" x14ac:dyDescent="0.25"/>
    <row r="113" ht="14.45" customHeight="1" x14ac:dyDescent="0.25"/>
    <row r="114" ht="14.45" customHeight="1" x14ac:dyDescent="0.25"/>
    <row r="115" ht="14.45" customHeight="1" x14ac:dyDescent="0.25"/>
    <row r="116" ht="14.45" customHeight="1" x14ac:dyDescent="0.25"/>
    <row r="117" ht="14.45" customHeight="1" x14ac:dyDescent="0.25"/>
    <row r="118" ht="14.45" customHeight="1" x14ac:dyDescent="0.25"/>
    <row r="119" ht="14.45" customHeight="1" x14ac:dyDescent="0.25"/>
    <row r="120" ht="14.45" customHeight="1" x14ac:dyDescent="0.25"/>
    <row r="121" ht="14.45" customHeight="1" x14ac:dyDescent="0.25"/>
    <row r="122" ht="14.45" customHeight="1" x14ac:dyDescent="0.25"/>
    <row r="123" ht="14.45" customHeight="1" x14ac:dyDescent="0.25"/>
    <row r="124" ht="14.45" customHeight="1" x14ac:dyDescent="0.25"/>
    <row r="125" ht="14.45" customHeight="1" x14ac:dyDescent="0.25"/>
    <row r="126" ht="14.45" customHeight="1" x14ac:dyDescent="0.25"/>
    <row r="127" ht="14.45" customHeight="1" x14ac:dyDescent="0.25"/>
    <row r="128" ht="14.45" customHeight="1" x14ac:dyDescent="0.25"/>
    <row r="129" ht="14.45" customHeight="1" x14ac:dyDescent="0.25"/>
    <row r="130" ht="14.45" customHeight="1" x14ac:dyDescent="0.25"/>
    <row r="131" ht="14.45" customHeight="1" x14ac:dyDescent="0.25"/>
    <row r="132" ht="14.45" customHeight="1" x14ac:dyDescent="0.25"/>
    <row r="133" ht="14.45" customHeight="1" x14ac:dyDescent="0.25"/>
    <row r="134" ht="14.45" customHeight="1" x14ac:dyDescent="0.25"/>
    <row r="135" ht="14.45" customHeight="1" x14ac:dyDescent="0.25"/>
    <row r="136" ht="14.45" customHeight="1" x14ac:dyDescent="0.25"/>
    <row r="137" ht="14.45" customHeight="1" x14ac:dyDescent="0.25"/>
    <row r="138" ht="14.45" customHeight="1" x14ac:dyDescent="0.25"/>
    <row r="139" ht="14.45" customHeight="1" x14ac:dyDescent="0.25"/>
    <row r="140" ht="14.45" customHeight="1" x14ac:dyDescent="0.25"/>
    <row r="141" ht="14.45" customHeight="1" x14ac:dyDescent="0.25"/>
    <row r="142" ht="14.45" customHeight="1" x14ac:dyDescent="0.25"/>
    <row r="143" ht="14.45" customHeight="1" x14ac:dyDescent="0.25"/>
    <row r="144" ht="14.45" customHeight="1" x14ac:dyDescent="0.25"/>
    <row r="145" ht="14.45" customHeight="1" x14ac:dyDescent="0.25"/>
    <row r="146" ht="14.45" customHeight="1" x14ac:dyDescent="0.25"/>
    <row r="147" ht="14.45" customHeight="1" x14ac:dyDescent="0.25"/>
    <row r="148" ht="14.45" customHeight="1" x14ac:dyDescent="0.25"/>
    <row r="149" ht="14.45" customHeight="1" x14ac:dyDescent="0.25"/>
    <row r="150" ht="14.45" customHeight="1" x14ac:dyDescent="0.25"/>
    <row r="151" ht="14.45" customHeight="1" x14ac:dyDescent="0.25"/>
    <row r="152" ht="14.45" customHeight="1" x14ac:dyDescent="0.25"/>
    <row r="153" ht="14.45" customHeight="1" x14ac:dyDescent="0.25"/>
    <row r="154" ht="14.45" customHeight="1" x14ac:dyDescent="0.25"/>
    <row r="155" ht="14.45" customHeight="1" x14ac:dyDescent="0.25"/>
    <row r="156" ht="14.45" customHeight="1" x14ac:dyDescent="0.25"/>
    <row r="157" ht="14.45" customHeight="1" x14ac:dyDescent="0.25"/>
    <row r="158" ht="14.45" customHeight="1" x14ac:dyDescent="0.25"/>
    <row r="159" ht="14.45" customHeight="1" x14ac:dyDescent="0.25"/>
    <row r="160" ht="14.45" customHeight="1" x14ac:dyDescent="0.25"/>
    <row r="161" ht="14.45" customHeight="1" x14ac:dyDescent="0.25"/>
    <row r="162" ht="14.45" customHeight="1" x14ac:dyDescent="0.25"/>
    <row r="163" ht="14.45" customHeight="1" x14ac:dyDescent="0.25"/>
    <row r="164" ht="14.45" customHeight="1" x14ac:dyDescent="0.25"/>
    <row r="165" ht="14.45" customHeight="1" x14ac:dyDescent="0.25"/>
    <row r="166" ht="14.45" customHeight="1" x14ac:dyDescent="0.25"/>
    <row r="167" ht="14.45" customHeight="1" x14ac:dyDescent="0.25"/>
    <row r="168" ht="14.45" customHeight="1" x14ac:dyDescent="0.25"/>
    <row r="169" ht="14.45" customHeight="1" x14ac:dyDescent="0.25"/>
    <row r="170" ht="14.45" customHeight="1" x14ac:dyDescent="0.25"/>
    <row r="171" ht="14.45" customHeight="1" x14ac:dyDescent="0.25"/>
    <row r="172" ht="14.45" customHeight="1" x14ac:dyDescent="0.25"/>
    <row r="173" ht="14.45" customHeight="1" x14ac:dyDescent="0.25"/>
    <row r="174" ht="14.45" customHeight="1" x14ac:dyDescent="0.25"/>
    <row r="175" ht="14.45" customHeight="1" x14ac:dyDescent="0.25"/>
    <row r="176" ht="14.45" customHeight="1" x14ac:dyDescent="0.25"/>
    <row r="177" ht="14.45" customHeight="1" x14ac:dyDescent="0.25"/>
    <row r="178" ht="14.45" customHeight="1" x14ac:dyDescent="0.25"/>
    <row r="179" ht="14.45" customHeight="1" x14ac:dyDescent="0.25"/>
    <row r="180" ht="14.45" customHeight="1" x14ac:dyDescent="0.25"/>
    <row r="181" ht="14.45" customHeight="1" x14ac:dyDescent="0.25"/>
    <row r="182" ht="14.45" customHeight="1" x14ac:dyDescent="0.25"/>
    <row r="183" ht="14.45" customHeight="1" x14ac:dyDescent="0.25"/>
    <row r="184" ht="14.45" customHeight="1" x14ac:dyDescent="0.25"/>
    <row r="185" ht="14.45" customHeight="1" x14ac:dyDescent="0.25"/>
    <row r="186" ht="14.45" customHeight="1" x14ac:dyDescent="0.25"/>
    <row r="187" ht="14.45" customHeight="1" x14ac:dyDescent="0.25"/>
    <row r="188" ht="14.45" customHeight="1" x14ac:dyDescent="0.25"/>
    <row r="189" ht="14.45" customHeight="1" x14ac:dyDescent="0.25"/>
    <row r="190" ht="14.45" customHeight="1" x14ac:dyDescent="0.25"/>
    <row r="191" ht="14.45" customHeight="1" x14ac:dyDescent="0.25"/>
    <row r="192" ht="14.45" customHeight="1" x14ac:dyDescent="0.25"/>
    <row r="193" ht="14.45" customHeight="1" x14ac:dyDescent="0.25"/>
    <row r="194" ht="14.45" customHeight="1" x14ac:dyDescent="0.25"/>
    <row r="195" ht="14.45" customHeight="1" x14ac:dyDescent="0.25"/>
    <row r="196" ht="14.45" customHeight="1" x14ac:dyDescent="0.25"/>
    <row r="197" ht="14.45" customHeight="1" x14ac:dyDescent="0.25"/>
    <row r="198" ht="14.45" customHeight="1" x14ac:dyDescent="0.25"/>
    <row r="199" ht="14.45" customHeight="1" x14ac:dyDescent="0.25"/>
    <row r="200" ht="14.45" customHeight="1" x14ac:dyDescent="0.25"/>
    <row r="201" ht="14.45" customHeight="1" x14ac:dyDescent="0.25"/>
    <row r="202" ht="14.45" customHeight="1" x14ac:dyDescent="0.25"/>
    <row r="203" ht="14.45" customHeight="1" x14ac:dyDescent="0.25"/>
    <row r="204" ht="14.45" customHeight="1" x14ac:dyDescent="0.25"/>
    <row r="205" ht="14.45" customHeight="1" x14ac:dyDescent="0.25"/>
    <row r="206" ht="14.45" customHeight="1" x14ac:dyDescent="0.25"/>
    <row r="207" ht="14.45" customHeight="1" x14ac:dyDescent="0.25"/>
    <row r="208" ht="14.45" customHeight="1" x14ac:dyDescent="0.25"/>
    <row r="209" ht="14.45" customHeight="1" x14ac:dyDescent="0.25"/>
    <row r="210" ht="14.45" customHeight="1" x14ac:dyDescent="0.25"/>
    <row r="211" ht="14.45" customHeight="1" x14ac:dyDescent="0.25"/>
    <row r="212" ht="14.45" customHeight="1" x14ac:dyDescent="0.25"/>
    <row r="213" ht="14.45" customHeight="1" x14ac:dyDescent="0.25"/>
    <row r="214" ht="14.45" customHeight="1" x14ac:dyDescent="0.25"/>
    <row r="215" ht="14.45" customHeight="1" x14ac:dyDescent="0.25"/>
    <row r="216" ht="14.45" customHeight="1" x14ac:dyDescent="0.25"/>
    <row r="217" ht="14.45" customHeight="1" x14ac:dyDescent="0.25"/>
    <row r="218" ht="14.45" customHeight="1" x14ac:dyDescent="0.25"/>
    <row r="219" ht="14.45" customHeight="1" x14ac:dyDescent="0.25"/>
    <row r="220" ht="14.45" customHeight="1" x14ac:dyDescent="0.25"/>
    <row r="221" ht="14.45" customHeight="1" x14ac:dyDescent="0.25"/>
  </sheetData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List14"/>
  <dimension ref="A1:J40"/>
  <sheetViews>
    <sheetView zoomScale="85" zoomScaleNormal="85" workbookViewId="0">
      <pane ySplit="1" topLeftCell="A2" activePane="bottomLeft" state="frozen"/>
      <selection pane="bottomLeft" activeCell="B11" sqref="B11"/>
    </sheetView>
  </sheetViews>
  <sheetFormatPr defaultRowHeight="15" x14ac:dyDescent="0.25"/>
  <cols>
    <col min="1" max="1" width="12.5703125" style="12" bestFit="1" customWidth="1"/>
    <col min="2" max="2" width="64.42578125" customWidth="1"/>
    <col min="3" max="3" width="5" customWidth="1"/>
    <col min="4" max="4" width="7.28515625" customWidth="1"/>
    <col min="5" max="5" width="7.42578125" customWidth="1"/>
    <col min="6" max="6" width="7.28515625" customWidth="1"/>
    <col min="7" max="7" width="10.42578125" customWidth="1"/>
    <col min="8" max="8" width="8.7109375" customWidth="1"/>
    <col min="9" max="9" width="7.7109375" customWidth="1"/>
    <col min="10" max="10" width="25" customWidth="1"/>
  </cols>
  <sheetData>
    <row r="1" spans="1:10" x14ac:dyDescent="0.25">
      <c r="A1" s="12" t="s">
        <v>77</v>
      </c>
      <c r="B1" s="12" t="s">
        <v>298</v>
      </c>
      <c r="C1" s="12" t="s">
        <v>78</v>
      </c>
      <c r="D1" s="12" t="s">
        <v>79</v>
      </c>
      <c r="E1" s="12" t="s">
        <v>80</v>
      </c>
      <c r="F1" s="12" t="s">
        <v>81</v>
      </c>
      <c r="G1" s="12" t="s">
        <v>82</v>
      </c>
      <c r="H1" s="12" t="s">
        <v>83</v>
      </c>
      <c r="I1" s="12" t="s">
        <v>84</v>
      </c>
      <c r="J1" s="12" t="s">
        <v>85</v>
      </c>
    </row>
    <row r="3" spans="1:10" x14ac:dyDescent="0.25">
      <c r="A3" s="12" t="s">
        <v>213</v>
      </c>
      <c r="B3" s="12" t="s">
        <v>229</v>
      </c>
      <c r="D3">
        <v>118</v>
      </c>
      <c r="E3">
        <v>238</v>
      </c>
      <c r="F3">
        <v>231</v>
      </c>
      <c r="G3">
        <v>1.06</v>
      </c>
      <c r="H3">
        <v>40</v>
      </c>
      <c r="J3">
        <v>-23.1</v>
      </c>
    </row>
    <row r="4" spans="1:10" x14ac:dyDescent="0.25">
      <c r="A4" s="12" t="s">
        <v>214</v>
      </c>
      <c r="B4" s="12" t="s">
        <v>230</v>
      </c>
      <c r="D4">
        <v>148</v>
      </c>
      <c r="E4">
        <v>310</v>
      </c>
      <c r="F4">
        <v>246</v>
      </c>
      <c r="G4">
        <v>1.59</v>
      </c>
      <c r="H4">
        <v>40</v>
      </c>
      <c r="J4">
        <v>-33.1</v>
      </c>
    </row>
    <row r="5" spans="1:10" x14ac:dyDescent="0.25">
      <c r="A5" s="12" t="s">
        <v>215</v>
      </c>
      <c r="B5" s="12" t="s">
        <v>231</v>
      </c>
      <c r="D5">
        <v>148</v>
      </c>
      <c r="E5">
        <v>310</v>
      </c>
      <c r="F5">
        <v>436</v>
      </c>
      <c r="G5">
        <v>2.57</v>
      </c>
      <c r="H5">
        <v>40</v>
      </c>
      <c r="J5">
        <v>-51.7</v>
      </c>
    </row>
    <row r="6" spans="1:10" x14ac:dyDescent="0.25">
      <c r="A6" s="12" t="s">
        <v>216</v>
      </c>
      <c r="B6" s="12" t="s">
        <v>232</v>
      </c>
      <c r="D6">
        <v>148</v>
      </c>
      <c r="E6">
        <v>310</v>
      </c>
      <c r="F6">
        <v>586</v>
      </c>
      <c r="G6">
        <v>3.41</v>
      </c>
      <c r="H6">
        <v>40</v>
      </c>
      <c r="J6">
        <v>-66.5</v>
      </c>
    </row>
    <row r="7" spans="1:10" x14ac:dyDescent="0.25">
      <c r="A7" s="12" t="s">
        <v>218</v>
      </c>
      <c r="B7" s="12" t="s">
        <v>233</v>
      </c>
      <c r="D7">
        <v>148</v>
      </c>
      <c r="E7">
        <v>418</v>
      </c>
      <c r="F7">
        <v>436</v>
      </c>
      <c r="G7">
        <v>3.37</v>
      </c>
      <c r="H7">
        <v>40</v>
      </c>
      <c r="J7">
        <v>-64.099999999999994</v>
      </c>
    </row>
    <row r="8" spans="1:10" x14ac:dyDescent="0.25">
      <c r="A8" s="12" t="s">
        <v>217</v>
      </c>
      <c r="B8" s="12" t="s">
        <v>234</v>
      </c>
      <c r="D8">
        <v>148</v>
      </c>
      <c r="E8">
        <v>418</v>
      </c>
      <c r="F8">
        <v>286</v>
      </c>
      <c r="G8">
        <v>2.17</v>
      </c>
      <c r="H8">
        <v>40</v>
      </c>
      <c r="J8">
        <v>-46.2</v>
      </c>
    </row>
    <row r="9" spans="1:10" x14ac:dyDescent="0.25">
      <c r="A9" s="12" t="s">
        <v>219</v>
      </c>
      <c r="B9" s="12" t="s">
        <v>235</v>
      </c>
      <c r="D9">
        <v>148</v>
      </c>
      <c r="E9">
        <v>418</v>
      </c>
      <c r="F9">
        <v>586</v>
      </c>
      <c r="G9">
        <v>4.4000000000000004</v>
      </c>
      <c r="H9">
        <v>40</v>
      </c>
      <c r="J9">
        <v>-82</v>
      </c>
    </row>
    <row r="10" spans="1:10" x14ac:dyDescent="0.25">
      <c r="A10" s="12" t="s">
        <v>361</v>
      </c>
      <c r="B10" s="12" t="s">
        <v>362</v>
      </c>
      <c r="D10">
        <v>41</v>
      </c>
      <c r="E10">
        <v>23</v>
      </c>
      <c r="F10">
        <v>23</v>
      </c>
      <c r="G10">
        <v>0.05</v>
      </c>
      <c r="H10">
        <v>60</v>
      </c>
      <c r="J10">
        <v>0</v>
      </c>
    </row>
    <row r="11" spans="1:10" x14ac:dyDescent="0.25">
      <c r="A11" s="12" t="s">
        <v>132</v>
      </c>
      <c r="B11" s="12" t="s">
        <v>133</v>
      </c>
      <c r="D11">
        <v>36</v>
      </c>
      <c r="E11">
        <v>27</v>
      </c>
      <c r="F11">
        <v>27</v>
      </c>
      <c r="G11">
        <v>1.7999999999999999E-2</v>
      </c>
      <c r="J11">
        <v>0</v>
      </c>
    </row>
    <row r="12" spans="1:10" x14ac:dyDescent="0.25">
      <c r="A12" s="12" t="s">
        <v>222</v>
      </c>
      <c r="B12" s="12" t="s">
        <v>236</v>
      </c>
      <c r="D12">
        <v>67</v>
      </c>
      <c r="E12">
        <v>35</v>
      </c>
      <c r="F12">
        <v>18</v>
      </c>
      <c r="G12">
        <v>0.08</v>
      </c>
      <c r="J12">
        <v>0</v>
      </c>
    </row>
    <row r="13" spans="1:10" x14ac:dyDescent="0.25">
      <c r="A13" s="12" t="s">
        <v>87</v>
      </c>
      <c r="B13" s="12" t="s">
        <v>173</v>
      </c>
      <c r="D13">
        <v>44</v>
      </c>
      <c r="E13">
        <v>10</v>
      </c>
      <c r="F13">
        <v>52</v>
      </c>
      <c r="G13">
        <v>0.03</v>
      </c>
      <c r="H13">
        <v>85</v>
      </c>
      <c r="J13">
        <v>0.7</v>
      </c>
    </row>
    <row r="14" spans="1:10" x14ac:dyDescent="0.25">
      <c r="A14" s="12" t="s">
        <v>88</v>
      </c>
      <c r="B14" s="12" t="s">
        <v>174</v>
      </c>
      <c r="D14">
        <v>44</v>
      </c>
      <c r="E14">
        <v>2</v>
      </c>
      <c r="F14">
        <v>40</v>
      </c>
      <c r="G14">
        <v>1E-3</v>
      </c>
      <c r="H14">
        <v>85</v>
      </c>
      <c r="J14">
        <v>0.7</v>
      </c>
    </row>
    <row r="15" spans="1:10" x14ac:dyDescent="0.25">
      <c r="A15" s="12" t="s">
        <v>89</v>
      </c>
      <c r="B15" s="12" t="s">
        <v>175</v>
      </c>
      <c r="D15">
        <v>44</v>
      </c>
      <c r="E15">
        <v>10</v>
      </c>
      <c r="F15">
        <v>52</v>
      </c>
      <c r="G15">
        <v>0.03</v>
      </c>
      <c r="H15">
        <v>85</v>
      </c>
      <c r="J15">
        <v>0.7</v>
      </c>
    </row>
    <row r="16" spans="1:10" x14ac:dyDescent="0.25">
      <c r="A16" s="12" t="s">
        <v>90</v>
      </c>
      <c r="B16" s="12" t="s">
        <v>91</v>
      </c>
      <c r="D16">
        <v>45</v>
      </c>
      <c r="E16">
        <v>38</v>
      </c>
      <c r="F16">
        <v>5</v>
      </c>
      <c r="G16">
        <v>0.01</v>
      </c>
      <c r="J16">
        <v>0</v>
      </c>
    </row>
    <row r="17" spans="1:10" x14ac:dyDescent="0.25">
      <c r="A17" s="12" t="s">
        <v>86</v>
      </c>
      <c r="B17" s="12" t="s">
        <v>151</v>
      </c>
      <c r="D17">
        <v>47</v>
      </c>
      <c r="E17">
        <v>27</v>
      </c>
      <c r="F17">
        <v>75</v>
      </c>
      <c r="G17">
        <v>0.13700000000000001</v>
      </c>
      <c r="H17">
        <v>85</v>
      </c>
      <c r="J17">
        <v>0.3</v>
      </c>
    </row>
    <row r="18" spans="1:10" x14ac:dyDescent="0.25">
      <c r="A18" s="12" t="s">
        <v>220</v>
      </c>
      <c r="B18" s="12" t="s">
        <v>237</v>
      </c>
      <c r="D18">
        <v>300</v>
      </c>
      <c r="E18">
        <v>400</v>
      </c>
      <c r="F18">
        <v>200</v>
      </c>
      <c r="G18">
        <v>4</v>
      </c>
      <c r="J18">
        <v>-49</v>
      </c>
    </row>
    <row r="19" spans="1:10" x14ac:dyDescent="0.25">
      <c r="A19" s="12" t="s">
        <v>223</v>
      </c>
      <c r="B19" s="12" t="s">
        <v>238</v>
      </c>
      <c r="D19">
        <v>400</v>
      </c>
      <c r="E19">
        <v>500</v>
      </c>
      <c r="F19">
        <v>200</v>
      </c>
      <c r="G19">
        <v>6</v>
      </c>
      <c r="J19">
        <v>-70</v>
      </c>
    </row>
    <row r="20" spans="1:10" x14ac:dyDescent="0.25">
      <c r="A20" s="12" t="s">
        <v>225</v>
      </c>
      <c r="B20" s="12" t="s">
        <v>239</v>
      </c>
      <c r="D20">
        <v>400</v>
      </c>
      <c r="E20">
        <v>600</v>
      </c>
      <c r="F20">
        <v>230</v>
      </c>
      <c r="G20">
        <v>7.46</v>
      </c>
      <c r="J20">
        <v>-87</v>
      </c>
    </row>
    <row r="21" spans="1:10" x14ac:dyDescent="0.25">
      <c r="A21" s="12" t="s">
        <v>227</v>
      </c>
      <c r="B21" s="12" t="s">
        <v>240</v>
      </c>
      <c r="D21">
        <v>600</v>
      </c>
      <c r="E21">
        <v>800</v>
      </c>
      <c r="F21">
        <v>300</v>
      </c>
      <c r="G21">
        <v>12.73</v>
      </c>
      <c r="J21">
        <v>-166</v>
      </c>
    </row>
    <row r="22" spans="1:10" x14ac:dyDescent="0.25">
      <c r="A22" s="12" t="s">
        <v>221</v>
      </c>
      <c r="B22" s="12" t="s">
        <v>241</v>
      </c>
      <c r="E22">
        <v>0</v>
      </c>
      <c r="F22">
        <v>0</v>
      </c>
      <c r="G22">
        <v>2</v>
      </c>
      <c r="J22">
        <v>0</v>
      </c>
    </row>
    <row r="23" spans="1:10" x14ac:dyDescent="0.25">
      <c r="A23" s="12" t="s">
        <v>224</v>
      </c>
      <c r="B23" s="12" t="s">
        <v>242</v>
      </c>
      <c r="E23">
        <v>0</v>
      </c>
      <c r="F23">
        <v>0</v>
      </c>
      <c r="G23">
        <v>3</v>
      </c>
      <c r="J23">
        <v>0</v>
      </c>
    </row>
    <row r="24" spans="1:10" x14ac:dyDescent="0.25">
      <c r="A24" s="12" t="s">
        <v>226</v>
      </c>
      <c r="B24" s="12" t="s">
        <v>243</v>
      </c>
      <c r="E24">
        <v>0</v>
      </c>
      <c r="F24">
        <v>0</v>
      </c>
      <c r="G24">
        <v>4</v>
      </c>
      <c r="J24">
        <v>0</v>
      </c>
    </row>
    <row r="25" spans="1:10" x14ac:dyDescent="0.25">
      <c r="A25" s="12" t="s">
        <v>228</v>
      </c>
      <c r="B25" s="12" t="s">
        <v>244</v>
      </c>
      <c r="E25">
        <v>0</v>
      </c>
      <c r="F25">
        <v>0</v>
      </c>
      <c r="G25">
        <v>5</v>
      </c>
      <c r="J25">
        <v>0</v>
      </c>
    </row>
    <row r="26" spans="1:10" x14ac:dyDescent="0.25">
      <c r="A26" s="12" t="s">
        <v>149</v>
      </c>
      <c r="B26" s="12" t="s">
        <v>177</v>
      </c>
      <c r="D26">
        <v>84</v>
      </c>
      <c r="E26">
        <v>54</v>
      </c>
      <c r="F26">
        <v>110</v>
      </c>
      <c r="G26">
        <v>0.46200000000000002</v>
      </c>
      <c r="H26">
        <v>85</v>
      </c>
      <c r="J26">
        <v>0</v>
      </c>
    </row>
    <row r="27" spans="1:10" x14ac:dyDescent="0.25">
      <c r="A27" s="12" t="s">
        <v>157</v>
      </c>
      <c r="B27" s="12" t="s">
        <v>162</v>
      </c>
      <c r="D27">
        <v>70</v>
      </c>
      <c r="E27">
        <v>36</v>
      </c>
      <c r="F27">
        <v>105</v>
      </c>
      <c r="G27">
        <v>0.23300000000000001</v>
      </c>
      <c r="H27">
        <v>85</v>
      </c>
      <c r="J27">
        <v>0</v>
      </c>
    </row>
    <row r="28" spans="1:10" x14ac:dyDescent="0.25">
      <c r="A28" s="12" t="s">
        <v>150</v>
      </c>
      <c r="B28" s="12" t="s">
        <v>178</v>
      </c>
      <c r="D28">
        <v>68</v>
      </c>
      <c r="E28">
        <v>54</v>
      </c>
      <c r="F28">
        <v>110</v>
      </c>
      <c r="G28">
        <v>0.40600000000000003</v>
      </c>
      <c r="H28">
        <v>85</v>
      </c>
      <c r="J28">
        <v>0</v>
      </c>
    </row>
    <row r="29" spans="1:10" x14ac:dyDescent="0.25">
      <c r="A29" s="12" t="s">
        <v>156</v>
      </c>
      <c r="B29" s="12" t="s">
        <v>163</v>
      </c>
      <c r="D29">
        <v>79</v>
      </c>
      <c r="E29">
        <v>70</v>
      </c>
      <c r="F29">
        <v>81</v>
      </c>
      <c r="G29">
        <v>0.14099999999999999</v>
      </c>
      <c r="H29">
        <v>60</v>
      </c>
      <c r="J29">
        <v>0.54</v>
      </c>
    </row>
    <row r="30" spans="1:10" x14ac:dyDescent="0.25">
      <c r="A30" s="12" t="s">
        <v>98</v>
      </c>
      <c r="B30" s="12" t="s">
        <v>99</v>
      </c>
      <c r="F30">
        <v>38</v>
      </c>
      <c r="G30">
        <v>4.1000000000000003E-3</v>
      </c>
      <c r="H30">
        <v>60</v>
      </c>
      <c r="J30">
        <v>2.5</v>
      </c>
    </row>
    <row r="31" spans="1:10" x14ac:dyDescent="0.25">
      <c r="A31" s="12" t="s">
        <v>330</v>
      </c>
      <c r="B31" s="12" t="s">
        <v>335</v>
      </c>
      <c r="F31">
        <v>38</v>
      </c>
      <c r="G31">
        <v>4.1000000000000003E-3</v>
      </c>
      <c r="H31">
        <v>60</v>
      </c>
    </row>
    <row r="32" spans="1:10" x14ac:dyDescent="0.25">
      <c r="A32" s="12" t="s">
        <v>331</v>
      </c>
      <c r="B32" s="12" t="s">
        <v>334</v>
      </c>
      <c r="F32">
        <v>38</v>
      </c>
      <c r="G32">
        <v>4.1000000000000003E-3</v>
      </c>
      <c r="H32">
        <v>60</v>
      </c>
    </row>
    <row r="33" spans="1:10" x14ac:dyDescent="0.25">
      <c r="A33" s="12" t="s">
        <v>332</v>
      </c>
      <c r="B33" s="12" t="s">
        <v>333</v>
      </c>
      <c r="F33">
        <v>38</v>
      </c>
      <c r="G33">
        <v>4.1000000000000003E-3</v>
      </c>
      <c r="H33">
        <v>60</v>
      </c>
    </row>
    <row r="34" spans="1:10" x14ac:dyDescent="0.25">
      <c r="B34" s="12"/>
    </row>
    <row r="35" spans="1:10" x14ac:dyDescent="0.25">
      <c r="A35" s="12" t="s">
        <v>100</v>
      </c>
      <c r="B35" s="12" t="s">
        <v>176</v>
      </c>
      <c r="F35">
        <v>38</v>
      </c>
      <c r="G35">
        <v>1.0999999999999999E-2</v>
      </c>
      <c r="H35">
        <v>60</v>
      </c>
      <c r="J35">
        <v>3</v>
      </c>
    </row>
    <row r="36" spans="1:10" x14ac:dyDescent="0.25">
      <c r="A36" s="12" t="s">
        <v>158</v>
      </c>
      <c r="B36" s="12" t="s">
        <v>164</v>
      </c>
      <c r="J36">
        <v>0</v>
      </c>
    </row>
    <row r="37" spans="1:10" x14ac:dyDescent="0.25">
      <c r="A37" s="12" t="s">
        <v>171</v>
      </c>
      <c r="B37" s="12" t="s">
        <v>172</v>
      </c>
      <c r="J37">
        <v>0</v>
      </c>
    </row>
    <row r="38" spans="1:10" x14ac:dyDescent="0.25">
      <c r="A38" s="12" t="s">
        <v>245</v>
      </c>
      <c r="B38" s="12" t="s">
        <v>297</v>
      </c>
      <c r="J38">
        <v>0</v>
      </c>
    </row>
    <row r="39" spans="1:10" x14ac:dyDescent="0.25">
      <c r="A39" s="12" t="s">
        <v>300</v>
      </c>
      <c r="B39" s="12" t="s">
        <v>319</v>
      </c>
      <c r="J39">
        <v>0.3</v>
      </c>
    </row>
    <row r="40" spans="1:10" x14ac:dyDescent="0.25">
      <c r="A40" s="12" t="s">
        <v>299</v>
      </c>
      <c r="B40" s="12" t="s">
        <v>320</v>
      </c>
      <c r="J40">
        <v>2.1</v>
      </c>
    </row>
  </sheetData>
  <autoFilter ref="A1:J1" xr:uid="{00000000-0009-0000-0000-00000C000000}"/>
  <conditionalFormatting sqref="A1:A1048576">
    <cfRule type="duplicateValues" dxfId="5" priority="10"/>
  </conditionalFormatting>
  <conditionalFormatting sqref="A1:A61070">
    <cfRule type="duplicateValues" dxfId="4" priority="58" stopIfTrue="1"/>
  </conditionalFormatting>
  <conditionalFormatting sqref="A1:A61070">
    <cfRule type="duplicateValues" dxfId="3" priority="66" stopIfTrue="1"/>
  </conditionalFormatting>
  <conditionalFormatting sqref="B36:B40">
    <cfRule type="duplicateValues" dxfId="2" priority="1"/>
  </conditionalFormatting>
  <conditionalFormatting sqref="B36:B40">
    <cfRule type="duplicateValues" dxfId="1" priority="2" stopIfTrue="1"/>
  </conditionalFormatting>
  <conditionalFormatting sqref="B36:B40">
    <cfRule type="duplicateValues" dxfId="0" priority="3" stopIfTrue="1"/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19</vt:i4>
      </vt:variant>
    </vt:vector>
  </HeadingPairs>
  <TitlesOfParts>
    <vt:vector size="29" baseType="lpstr">
      <vt:lpstr>Zdrojová data</vt:lpstr>
      <vt:lpstr>Zadání</vt:lpstr>
      <vt:lpstr>1. Charakteristiky rozhraní</vt:lpstr>
      <vt:lpstr>2. Kusové ověření</vt:lpstr>
      <vt:lpstr>3. EU Prohlášení o shodě</vt:lpstr>
      <vt:lpstr>4. Štítek</vt:lpstr>
      <vt:lpstr>5. Oteplení rozváděče</vt:lpstr>
      <vt:lpstr>Typový klíč</vt:lpstr>
      <vt:lpstr>Návod</vt:lpstr>
      <vt:lpstr>Databaze</vt:lpstr>
      <vt:lpstr>Datum</vt:lpstr>
      <vt:lpstr>'1. Charakteristiky rozhraní'!Oblast_tisku</vt:lpstr>
      <vt:lpstr>'2. Kusové ověření'!Oblast_tisku</vt:lpstr>
      <vt:lpstr>'3. EU Prohlášení o shodě'!Oblast_tisku</vt:lpstr>
      <vt:lpstr>'5. Oteplení rozváděče'!Oblast_tisku</vt:lpstr>
      <vt:lpstr>Návod!Oblast_tisku</vt:lpstr>
      <vt:lpstr>'Typový klíč'!Oblast_tisku</vt:lpstr>
      <vt:lpstr>OznaceniRozvadece</vt:lpstr>
      <vt:lpstr>Popis</vt:lpstr>
      <vt:lpstr>PouzitePristroje</vt:lpstr>
      <vt:lpstr>TypSkrine</vt:lpstr>
      <vt:lpstr>vyr</vt:lpstr>
      <vt:lpstr>VyrCislo</vt:lpstr>
      <vt:lpstr>Vyrob</vt:lpstr>
      <vt:lpstr>Vyrobce</vt:lpstr>
      <vt:lpstr>Vyrobek</vt:lpstr>
      <vt:lpstr>VyrobniCislo</vt:lpstr>
      <vt:lpstr>VyrobRozv</vt:lpstr>
      <vt:lpstr>zkousel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Schrack Norm</dc:title>
  <dc:creator>Schrack, spol. s.r.o.</dc:creator>
  <cp:keywords>Schrack Norm, Rozvadece, Normy 2015</cp:keywords>
  <cp:lastModifiedBy>Kouřil Pavel</cp:lastModifiedBy>
  <cp:lastPrinted>2025-07-16T11:38:51Z</cp:lastPrinted>
  <dcterms:created xsi:type="dcterms:W3CDTF">2014-10-24T05:28:38Z</dcterms:created>
  <dcterms:modified xsi:type="dcterms:W3CDTF">2025-07-21T06:19:15Z</dcterms:modified>
</cp:coreProperties>
</file>